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DigitaleBibliothek\Bearbeitung\Goele\Abschlussarbeiten\"/>
    </mc:Choice>
  </mc:AlternateContent>
  <bookViews>
    <workbookView xWindow="-120" yWindow="-120" windowWidth="20730" windowHeight="11160" firstSheet="4" activeTab="6"/>
  </bookViews>
  <sheets>
    <sheet name="Mastdauer" sheetId="8" r:id="rId1"/>
    <sheet name="Schlachterlöse" sheetId="1" r:id="rId2"/>
    <sheet name="Einnahmen" sheetId="5" r:id="rId3"/>
    <sheet name="Kosten" sheetId="7" r:id="rId4"/>
    <sheet name="Kalkulation Mast ab Kalb" sheetId="2" r:id="rId5"/>
    <sheet name="Kalkulation Mast ab Starterkalb" sheetId="9" r:id="rId6"/>
    <sheet name="Kalkulation Mast ab Fresser" sheetId="10" r:id="rId7"/>
    <sheet name="Bsp.-Betrieb" sheetId="4" r:id="rId8"/>
    <sheet name="Anhang" sheetId="3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0" l="1"/>
  <c r="H7" i="10"/>
  <c r="G7" i="10"/>
  <c r="F7" i="10"/>
  <c r="E7" i="10"/>
  <c r="D7" i="10"/>
  <c r="I5" i="10"/>
  <c r="I22" i="10" s="1"/>
  <c r="H5" i="10"/>
  <c r="H28" i="10" s="1"/>
  <c r="G5" i="10"/>
  <c r="G28" i="10" s="1"/>
  <c r="F5" i="10"/>
  <c r="F22" i="10" s="1"/>
  <c r="E5" i="10"/>
  <c r="E22" i="10" s="1"/>
  <c r="D5" i="10"/>
  <c r="E41" i="10"/>
  <c r="F6" i="10"/>
  <c r="F28" i="10"/>
  <c r="I5" i="9"/>
  <c r="H5" i="9"/>
  <c r="G5" i="9"/>
  <c r="F5" i="9"/>
  <c r="D5" i="9"/>
  <c r="D22" i="9" s="1"/>
  <c r="E5" i="9"/>
  <c r="E22" i="9" s="1"/>
  <c r="I7" i="9"/>
  <c r="H7" i="9"/>
  <c r="G7" i="9"/>
  <c r="F7" i="9"/>
  <c r="E7" i="9"/>
  <c r="D7" i="9"/>
  <c r="E41" i="9"/>
  <c r="D28" i="9"/>
  <c r="E10" i="9"/>
  <c r="I22" i="9"/>
  <c r="H28" i="9"/>
  <c r="G28" i="9"/>
  <c r="E6" i="9" l="1"/>
  <c r="E28" i="9"/>
  <c r="D10" i="9"/>
  <c r="F10" i="10"/>
  <c r="D28" i="10"/>
  <c r="G6" i="10"/>
  <c r="G10" i="10"/>
  <c r="G22" i="10"/>
  <c r="E28" i="10"/>
  <c r="I28" i="10"/>
  <c r="D6" i="10"/>
  <c r="H6" i="10"/>
  <c r="D10" i="10"/>
  <c r="H10" i="10"/>
  <c r="D22" i="10"/>
  <c r="H22" i="10"/>
  <c r="E6" i="10"/>
  <c r="I6" i="10"/>
  <c r="E10" i="10"/>
  <c r="I10" i="10"/>
  <c r="F6" i="9"/>
  <c r="F22" i="9"/>
  <c r="F28" i="9"/>
  <c r="F10" i="9"/>
  <c r="D6" i="9"/>
  <c r="G6" i="9"/>
  <c r="G10" i="9"/>
  <c r="G22" i="9"/>
  <c r="I28" i="9"/>
  <c r="H6" i="9"/>
  <c r="H10" i="9"/>
  <c r="H22" i="9"/>
  <c r="I6" i="9"/>
  <c r="I10" i="9"/>
  <c r="E41" i="2"/>
  <c r="E30" i="8"/>
  <c r="G30" i="8" s="1"/>
  <c r="E29" i="8"/>
  <c r="G29" i="8" s="1"/>
  <c r="E28" i="8"/>
  <c r="G28" i="8" s="1"/>
  <c r="E27" i="8"/>
  <c r="G27" i="8" s="1"/>
  <c r="E26" i="8"/>
  <c r="G26" i="8" s="1"/>
  <c r="E25" i="8"/>
  <c r="G25" i="8" s="1"/>
  <c r="E20" i="8"/>
  <c r="G20" i="8" s="1"/>
  <c r="E19" i="8"/>
  <c r="G19" i="8" s="1"/>
  <c r="E18" i="8"/>
  <c r="G18" i="8" s="1"/>
  <c r="E17" i="8"/>
  <c r="G17" i="8" s="1"/>
  <c r="E16" i="8"/>
  <c r="G16" i="8" s="1"/>
  <c r="E15" i="8"/>
  <c r="G15" i="8" s="1"/>
  <c r="I5" i="2" l="1"/>
  <c r="I28" i="2" s="1"/>
  <c r="H5" i="2"/>
  <c r="H6" i="2" s="1"/>
  <c r="G5" i="2"/>
  <c r="G10" i="2" s="1"/>
  <c r="F5" i="2"/>
  <c r="F22" i="2" s="1"/>
  <c r="E37" i="2"/>
  <c r="H10" i="2"/>
  <c r="I7" i="2"/>
  <c r="H7" i="2"/>
  <c r="G7" i="2"/>
  <c r="F7" i="2"/>
  <c r="D7" i="2"/>
  <c r="D8" i="1"/>
  <c r="G5" i="8"/>
  <c r="D5" i="1" s="1"/>
  <c r="E6" i="8"/>
  <c r="G6" i="8" s="1"/>
  <c r="D6" i="1" s="1"/>
  <c r="E7" i="8"/>
  <c r="G7" i="8" s="1"/>
  <c r="D7" i="1" s="1"/>
  <c r="E8" i="8"/>
  <c r="G8" i="8" s="1"/>
  <c r="E9" i="8"/>
  <c r="G9" i="8" s="1"/>
  <c r="D9" i="1" s="1"/>
  <c r="E10" i="8"/>
  <c r="G10" i="8" s="1"/>
  <c r="D10" i="1" s="1"/>
  <c r="E5" i="8"/>
  <c r="D6" i="2"/>
  <c r="E7" i="2"/>
  <c r="H34" i="7"/>
  <c r="H33" i="7"/>
  <c r="E38" i="2" s="1"/>
  <c r="H32" i="7"/>
  <c r="I33" i="7" s="1"/>
  <c r="I30" i="7"/>
  <c r="H22" i="7"/>
  <c r="H23" i="7"/>
  <c r="H21" i="7"/>
  <c r="I19" i="7"/>
  <c r="H40" i="7"/>
  <c r="H41" i="7" s="1"/>
  <c r="D39" i="2" l="1"/>
  <c r="D39" i="9"/>
  <c r="D39" i="10"/>
  <c r="D15" i="9"/>
  <c r="F15" i="10"/>
  <c r="F15" i="9"/>
  <c r="H15" i="10"/>
  <c r="G15" i="9"/>
  <c r="E15" i="10"/>
  <c r="H15" i="9"/>
  <c r="E15" i="9"/>
  <c r="I15" i="10"/>
  <c r="G15" i="10"/>
  <c r="D15" i="10"/>
  <c r="I15" i="9"/>
  <c r="E39" i="10"/>
  <c r="E39" i="9"/>
  <c r="E38" i="9"/>
  <c r="E38" i="10"/>
  <c r="D38" i="2"/>
  <c r="H12" i="2" s="1"/>
  <c r="D38" i="10"/>
  <c r="D38" i="9"/>
  <c r="D37" i="2"/>
  <c r="D37" i="9"/>
  <c r="D37" i="10"/>
  <c r="E37" i="10"/>
  <c r="E37" i="9"/>
  <c r="E39" i="2"/>
  <c r="G15" i="2"/>
  <c r="H11" i="2"/>
  <c r="I22" i="7"/>
  <c r="H28" i="2"/>
  <c r="I15" i="2"/>
  <c r="F15" i="2"/>
  <c r="I22" i="2"/>
  <c r="G28" i="2"/>
  <c r="F6" i="2"/>
  <c r="F10" i="2"/>
  <c r="H22" i="2"/>
  <c r="F28" i="2"/>
  <c r="H13" i="2"/>
  <c r="H15" i="2"/>
  <c r="G22" i="2"/>
  <c r="I6" i="2"/>
  <c r="I10" i="2"/>
  <c r="G6" i="2"/>
  <c r="D15" i="2"/>
  <c r="E15" i="2"/>
  <c r="D20" i="4"/>
  <c r="H18" i="2" l="1"/>
  <c r="D12" i="9"/>
  <c r="F12" i="9"/>
  <c r="H12" i="9"/>
  <c r="G12" i="9"/>
  <c r="E12" i="9"/>
  <c r="I12" i="9"/>
  <c r="D13" i="9"/>
  <c r="F13" i="9"/>
  <c r="H13" i="9"/>
  <c r="D11" i="9"/>
  <c r="F11" i="9"/>
  <c r="H11" i="9"/>
  <c r="E13" i="10"/>
  <c r="I13" i="10"/>
  <c r="G13" i="10"/>
  <c r="E11" i="9"/>
  <c r="I11" i="9"/>
  <c r="G11" i="9"/>
  <c r="E12" i="10"/>
  <c r="G12" i="10"/>
  <c r="I12" i="10"/>
  <c r="F13" i="10"/>
  <c r="H13" i="10"/>
  <c r="D13" i="10"/>
  <c r="I11" i="10"/>
  <c r="G11" i="10"/>
  <c r="E11" i="10"/>
  <c r="F11" i="10"/>
  <c r="D11" i="10"/>
  <c r="H11" i="10"/>
  <c r="F12" i="10"/>
  <c r="H12" i="10"/>
  <c r="D12" i="10"/>
  <c r="E13" i="9"/>
  <c r="G13" i="9"/>
  <c r="G17" i="9" s="1"/>
  <c r="I13" i="9"/>
  <c r="H17" i="2"/>
  <c r="G11" i="2"/>
  <c r="G13" i="2"/>
  <c r="G12" i="2"/>
  <c r="F11" i="2"/>
  <c r="F13" i="2"/>
  <c r="F12" i="2"/>
  <c r="I11" i="2"/>
  <c r="I12" i="2"/>
  <c r="I13" i="2"/>
  <c r="E10" i="2"/>
  <c r="D10" i="2"/>
  <c r="E22" i="2"/>
  <c r="D22" i="2"/>
  <c r="E28" i="2"/>
  <c r="D28" i="2"/>
  <c r="D24" i="4"/>
  <c r="D23" i="4"/>
  <c r="D22" i="4"/>
  <c r="D21" i="4"/>
  <c r="E17" i="10" l="1"/>
  <c r="E18" i="10"/>
  <c r="F17" i="9"/>
  <c r="F18" i="9"/>
  <c r="H18" i="10"/>
  <c r="H17" i="10"/>
  <c r="G18" i="10"/>
  <c r="G17" i="10"/>
  <c r="G18" i="9"/>
  <c r="D18" i="9"/>
  <c r="D17" i="9"/>
  <c r="F18" i="2"/>
  <c r="D18" i="10"/>
  <c r="D17" i="10"/>
  <c r="I18" i="10"/>
  <c r="I17" i="10"/>
  <c r="I18" i="9"/>
  <c r="I17" i="9"/>
  <c r="F17" i="10"/>
  <c r="F18" i="10"/>
  <c r="E18" i="9"/>
  <c r="E17" i="9"/>
  <c r="H18" i="9"/>
  <c r="H17" i="9"/>
  <c r="I18" i="2"/>
  <c r="G18" i="2"/>
  <c r="F17" i="2"/>
  <c r="G17" i="2"/>
  <c r="I17" i="2"/>
  <c r="E6" i="2"/>
  <c r="D13" i="2"/>
  <c r="G19" i="2" l="1"/>
  <c r="E13" i="2"/>
  <c r="E12" i="2"/>
  <c r="D11" i="2"/>
  <c r="D12" i="2"/>
  <c r="H10" i="7"/>
  <c r="H7" i="7"/>
  <c r="F7" i="1"/>
  <c r="F8" i="1"/>
  <c r="H8" i="1" s="1"/>
  <c r="F9" i="1"/>
  <c r="F10" i="1"/>
  <c r="G19" i="10" l="1"/>
  <c r="G19" i="9"/>
  <c r="D18" i="2"/>
  <c r="D17" i="2"/>
  <c r="H12" i="7"/>
  <c r="C11" i="5"/>
  <c r="D23" i="2"/>
  <c r="D24" i="2" s="1"/>
  <c r="H9" i="1"/>
  <c r="H7" i="1"/>
  <c r="H10" i="1"/>
  <c r="H13" i="3"/>
  <c r="C6" i="5" l="1"/>
  <c r="H19" i="2"/>
  <c r="H19" i="9"/>
  <c r="H19" i="10"/>
  <c r="I19" i="10"/>
  <c r="I19" i="9"/>
  <c r="I19" i="2"/>
  <c r="F19" i="9"/>
  <c r="F19" i="10"/>
  <c r="F19" i="2"/>
  <c r="H11" i="7"/>
  <c r="D23" i="10"/>
  <c r="D24" i="10" s="1"/>
  <c r="D29" i="10" s="1"/>
  <c r="D30" i="10" s="1"/>
  <c r="E23" i="9"/>
  <c r="E24" i="9" s="1"/>
  <c r="E29" i="9" s="1"/>
  <c r="E30" i="9" s="1"/>
  <c r="H23" i="10"/>
  <c r="H24" i="10" s="1"/>
  <c r="H29" i="10" s="1"/>
  <c r="H30" i="10" s="1"/>
  <c r="D23" i="9"/>
  <c r="D24" i="9" s="1"/>
  <c r="D29" i="9" s="1"/>
  <c r="D30" i="9" s="1"/>
  <c r="H23" i="9"/>
  <c r="H24" i="9" s="1"/>
  <c r="H29" i="9" s="1"/>
  <c r="H30" i="9" s="1"/>
  <c r="G23" i="9"/>
  <c r="G24" i="9" s="1"/>
  <c r="G29" i="9" s="1"/>
  <c r="G30" i="9" s="1"/>
  <c r="E23" i="10"/>
  <c r="E24" i="10" s="1"/>
  <c r="E29" i="10" s="1"/>
  <c r="E30" i="10" s="1"/>
  <c r="I23" i="10"/>
  <c r="I24" i="10" s="1"/>
  <c r="I29" i="10" s="1"/>
  <c r="I30" i="10" s="1"/>
  <c r="F23" i="10"/>
  <c r="F24" i="10" s="1"/>
  <c r="F29" i="10" s="1"/>
  <c r="F30" i="10" s="1"/>
  <c r="G23" i="10"/>
  <c r="G24" i="10" s="1"/>
  <c r="G29" i="10" s="1"/>
  <c r="G30" i="10" s="1"/>
  <c r="I23" i="9"/>
  <c r="I24" i="9" s="1"/>
  <c r="I29" i="9" s="1"/>
  <c r="I30" i="9" s="1"/>
  <c r="F23" i="9"/>
  <c r="F24" i="9" s="1"/>
  <c r="F29" i="9" s="1"/>
  <c r="F30" i="9" s="1"/>
  <c r="G32" i="10"/>
  <c r="G33" i="10" s="1"/>
  <c r="G32" i="9"/>
  <c r="G33" i="9" s="1"/>
  <c r="D29" i="2"/>
  <c r="D30" i="2" s="1"/>
  <c r="H23" i="2"/>
  <c r="H24" i="2" s="1"/>
  <c r="I23" i="2"/>
  <c r="I24" i="2" s="1"/>
  <c r="G23" i="2"/>
  <c r="G24" i="2" s="1"/>
  <c r="F23" i="2"/>
  <c r="F24" i="2" s="1"/>
  <c r="E23" i="2"/>
  <c r="E24" i="2" s="1"/>
  <c r="C10" i="5"/>
  <c r="C7" i="5"/>
  <c r="F32" i="9" l="1"/>
  <c r="F33" i="9" s="1"/>
  <c r="F32" i="10"/>
  <c r="F33" i="10" s="1"/>
  <c r="D32" i="9"/>
  <c r="D33" i="9" s="1"/>
  <c r="D19" i="9"/>
  <c r="D19" i="10"/>
  <c r="D32" i="10"/>
  <c r="D33" i="10" s="1"/>
  <c r="H32" i="10"/>
  <c r="H33" i="10" s="1"/>
  <c r="H32" i="9"/>
  <c r="H33" i="9" s="1"/>
  <c r="D19" i="2"/>
  <c r="E19" i="9"/>
  <c r="I32" i="9"/>
  <c r="I33" i="9" s="1"/>
  <c r="E19" i="10"/>
  <c r="I32" i="10"/>
  <c r="I33" i="10" s="1"/>
  <c r="I29" i="2"/>
  <c r="I30" i="2" s="1"/>
  <c r="H29" i="2"/>
  <c r="H30" i="2" s="1"/>
  <c r="F29" i="2"/>
  <c r="F30" i="2" s="1"/>
  <c r="G29" i="2"/>
  <c r="G30" i="2" s="1"/>
  <c r="H5" i="3"/>
  <c r="H6" i="3"/>
  <c r="H7" i="3"/>
  <c r="H8" i="3"/>
  <c r="H9" i="3"/>
  <c r="H10" i="3"/>
  <c r="H11" i="3"/>
  <c r="H12" i="3"/>
  <c r="H14" i="3"/>
  <c r="H15" i="3"/>
  <c r="H16" i="3"/>
  <c r="H17" i="3"/>
  <c r="H18" i="3"/>
  <c r="H19" i="3"/>
  <c r="H20" i="3"/>
  <c r="H21" i="3"/>
  <c r="H4" i="3"/>
  <c r="F6" i="1" l="1"/>
  <c r="H6" i="1" s="1"/>
  <c r="C12" i="5" s="1"/>
  <c r="F5" i="1"/>
  <c r="H5" i="1" s="1"/>
  <c r="C8" i="5" s="1"/>
  <c r="E32" i="9" l="1"/>
  <c r="E33" i="9" s="1"/>
  <c r="E32" i="10"/>
  <c r="E33" i="10" s="1"/>
  <c r="E11" i="2"/>
  <c r="E17" i="2" l="1"/>
  <c r="E18" i="2"/>
  <c r="E19" i="2" s="1"/>
  <c r="E29" i="2" l="1"/>
  <c r="E30" i="2" s="1"/>
  <c r="D32" i="2" l="1"/>
  <c r="D33" i="2" s="1"/>
  <c r="G32" i="2"/>
  <c r="G33" i="2" s="1"/>
  <c r="I32" i="2"/>
  <c r="I33" i="2" s="1"/>
  <c r="F32" i="2"/>
  <c r="F33" i="2" s="1"/>
  <c r="H32" i="2"/>
  <c r="H33" i="2" s="1"/>
  <c r="E32" i="2"/>
  <c r="E33" i="2" s="1"/>
</calcChain>
</file>

<file path=xl/sharedStrings.xml><?xml version="1.0" encoding="utf-8"?>
<sst xmlns="http://schemas.openxmlformats.org/spreadsheetml/2006/main" count="515" uniqueCount="222">
  <si>
    <t>Kategorie</t>
  </si>
  <si>
    <t>HKL</t>
  </si>
  <si>
    <t>Lebendgewicht</t>
  </si>
  <si>
    <t>Ausschlachtgewicht</t>
  </si>
  <si>
    <t>Gesamterlös</t>
  </si>
  <si>
    <t>R3</t>
  </si>
  <si>
    <t>A - Jungbulle</t>
  </si>
  <si>
    <t>E - Färse</t>
  </si>
  <si>
    <t>Erlöse je kg</t>
  </si>
  <si>
    <t>Jahr</t>
  </si>
  <si>
    <t>Ochsen und Bullen</t>
  </si>
  <si>
    <t>Kühe</t>
  </si>
  <si>
    <t>Übersicht des Beispielbetriebes:</t>
  </si>
  <si>
    <t xml:space="preserve">Agrar-GmbH Putzar </t>
  </si>
  <si>
    <t>LF</t>
  </si>
  <si>
    <t>Ackerland</t>
  </si>
  <si>
    <t>Grünland</t>
  </si>
  <si>
    <t>Kulturen</t>
  </si>
  <si>
    <t>Weizen</t>
  </si>
  <si>
    <t>Gerste</t>
  </si>
  <si>
    <t>Hafer</t>
  </si>
  <si>
    <t>Silomais</t>
  </si>
  <si>
    <t>Fütterung:</t>
  </si>
  <si>
    <t>GPS-Roggen</t>
  </si>
  <si>
    <t>Grassilage</t>
  </si>
  <si>
    <t>Mist</t>
  </si>
  <si>
    <t>in ha:</t>
  </si>
  <si>
    <t>750 ha</t>
  </si>
  <si>
    <t>350 ha</t>
  </si>
  <si>
    <t>Luzerne (trocken)</t>
  </si>
  <si>
    <t>Kälber</t>
  </si>
  <si>
    <t>Färsen</t>
  </si>
  <si>
    <t>Häckselmais (trocken)</t>
  </si>
  <si>
    <t>Getreideschrote</t>
  </si>
  <si>
    <t>Mineralfutter</t>
  </si>
  <si>
    <t>Tiereinsatz</t>
  </si>
  <si>
    <t>Tierarzt/Medikamente</t>
  </si>
  <si>
    <t>Sonstiges</t>
  </si>
  <si>
    <t>Grundfutter</t>
  </si>
  <si>
    <t>Kraftfutter</t>
  </si>
  <si>
    <t>Milchaustauscher</t>
  </si>
  <si>
    <t>Mineralfutter u.a.</t>
  </si>
  <si>
    <t>Summe Direktkosten</t>
  </si>
  <si>
    <t>Arbeitserledigungskosten</t>
  </si>
  <si>
    <t>Maschinen und Technik</t>
  </si>
  <si>
    <t>Lohn</t>
  </si>
  <si>
    <t>Summe Arbeitserledigungskosten</t>
  </si>
  <si>
    <t>Stallplatzkosten</t>
  </si>
  <si>
    <t>Weitere Kosten</t>
  </si>
  <si>
    <t>Gesamtkosten</t>
  </si>
  <si>
    <t>kalkulatorischer Gewinnbeitrag</t>
  </si>
  <si>
    <t>€/Tier</t>
  </si>
  <si>
    <t>Wasser, Strom</t>
  </si>
  <si>
    <t>Transport/Vermarktung</t>
  </si>
  <si>
    <t>Schlachterlöse:</t>
  </si>
  <si>
    <t>Ausschlachtung (%)</t>
  </si>
  <si>
    <t xml:space="preserve">Direktkosten   </t>
  </si>
  <si>
    <t>Tiere</t>
  </si>
  <si>
    <t>Lohnkosten</t>
  </si>
  <si>
    <t>Einheit</t>
  </si>
  <si>
    <t>Stück</t>
  </si>
  <si>
    <t>€/h</t>
  </si>
  <si>
    <t>Akh</t>
  </si>
  <si>
    <t>Ak</t>
  </si>
  <si>
    <t>h/Monat</t>
  </si>
  <si>
    <t xml:space="preserve">Lohn </t>
  </si>
  <si>
    <t>€/Monat</t>
  </si>
  <si>
    <t>Tiere/Ak</t>
  </si>
  <si>
    <t>€/Tier/Monat</t>
  </si>
  <si>
    <t>Arbeitstage/Monat</t>
  </si>
  <si>
    <t>Tage</t>
  </si>
  <si>
    <t>Berechnung Lohnkosten je Tier</t>
  </si>
  <si>
    <t>Anzahl</t>
  </si>
  <si>
    <t>Lohnkosten/Tier/Tag</t>
  </si>
  <si>
    <t>Lohnkosten/Tier/Monat</t>
  </si>
  <si>
    <t>Preise/Einstallungskosten</t>
  </si>
  <si>
    <t>Kalkulationswert</t>
  </si>
  <si>
    <t>Fleckvieh</t>
  </si>
  <si>
    <t>Schwarzbunt</t>
  </si>
  <si>
    <t>Mastkreuzungen</t>
  </si>
  <si>
    <t>Produkt</t>
  </si>
  <si>
    <t>in €</t>
  </si>
  <si>
    <t>eigene Erhebungen</t>
  </si>
  <si>
    <t>Kuhkalb 75-100 kg LG (Starter)</t>
  </si>
  <si>
    <t>Bullenkalb 75-100kg LG (Starter)</t>
  </si>
  <si>
    <t>Rinder gesamt</t>
  </si>
  <si>
    <t>-</t>
  </si>
  <si>
    <t>Destatis 2018</t>
  </si>
  <si>
    <t>Jungrinder</t>
  </si>
  <si>
    <t>Bullenkalb ≤ 75 kg LG</t>
  </si>
  <si>
    <t>Kuhkalb ≤ 75 kg LG</t>
  </si>
  <si>
    <t>SBT</t>
  </si>
  <si>
    <t>FL</t>
  </si>
  <si>
    <t>d</t>
  </si>
  <si>
    <t>Mastdauer</t>
  </si>
  <si>
    <t>m</t>
  </si>
  <si>
    <t>Einnahmen:</t>
  </si>
  <si>
    <t>Bulle</t>
  </si>
  <si>
    <t>Färse</t>
  </si>
  <si>
    <t>Bulle R3</t>
  </si>
  <si>
    <t>Färse R3</t>
  </si>
  <si>
    <t>Mast ab Kalb:</t>
  </si>
  <si>
    <t>Tierseuchenkasse</t>
  </si>
  <si>
    <t>Futterkosten je Tag:</t>
  </si>
  <si>
    <t>Marktleistung</t>
  </si>
  <si>
    <t>Direktkostenfreie Leistung</t>
  </si>
  <si>
    <t>Hühnertrockenkot</t>
  </si>
  <si>
    <t>Bulle xFM</t>
  </si>
  <si>
    <t>Färse xFM</t>
  </si>
  <si>
    <t>Tierverluste</t>
  </si>
  <si>
    <t>Tierverluste in %</t>
  </si>
  <si>
    <t>Stroh</t>
  </si>
  <si>
    <t xml:space="preserve">Benötigte Rundballen </t>
  </si>
  <si>
    <t>Stück/a</t>
  </si>
  <si>
    <t>Anz. der Tiere</t>
  </si>
  <si>
    <t>Preis je Ballen</t>
  </si>
  <si>
    <t>€/Stück</t>
  </si>
  <si>
    <t>Berechnung der Strohkosten je Tier</t>
  </si>
  <si>
    <t>Strohkosten/Tier/Jahr</t>
  </si>
  <si>
    <t>€/Tier/a</t>
  </si>
  <si>
    <t>Strohkosten/Tier/Monat</t>
  </si>
  <si>
    <t>€/Tier/d</t>
  </si>
  <si>
    <t>€/t</t>
  </si>
  <si>
    <t>Grundfutterbedarf</t>
  </si>
  <si>
    <t>Kraftfutterbedarf</t>
  </si>
  <si>
    <t>Mineralfutterbedarf</t>
  </si>
  <si>
    <t>Futter ges. kg TM</t>
  </si>
  <si>
    <t>kg TM/d</t>
  </si>
  <si>
    <t>Grundfutterkosten</t>
  </si>
  <si>
    <t>Kraftfutterkosten</t>
  </si>
  <si>
    <t>Mineralfutterkosten</t>
  </si>
  <si>
    <t>Berechnung der Futterkosten je Bulle</t>
  </si>
  <si>
    <t>Monate</t>
  </si>
  <si>
    <t xml:space="preserve">Tage </t>
  </si>
  <si>
    <t>Tägliche Zunahmen(g)</t>
  </si>
  <si>
    <t>Lebendendgewicht (kg)</t>
  </si>
  <si>
    <t>LG (kg) Einstallung</t>
  </si>
  <si>
    <t>Futterkosten ges. €</t>
  </si>
  <si>
    <t>Bulle SBT</t>
  </si>
  <si>
    <t>Färse SBT</t>
  </si>
  <si>
    <t>Bulle FL</t>
  </si>
  <si>
    <t>Färse FL</t>
  </si>
  <si>
    <t>xFM</t>
  </si>
  <si>
    <t>Berechnung der Futterkosten je Färse</t>
  </si>
  <si>
    <t>Tierkörperbeseitigung in €</t>
  </si>
  <si>
    <r>
      <t>Mastdauer:</t>
    </r>
    <r>
      <rPr>
        <sz val="18"/>
        <color theme="1"/>
        <rFont val="Times New Roman"/>
        <family val="1"/>
      </rPr>
      <t xml:space="preserve"> </t>
    </r>
  </si>
  <si>
    <t>ab Kalb</t>
  </si>
  <si>
    <t>ab Starterkalb</t>
  </si>
  <si>
    <t>ab Fresser</t>
  </si>
  <si>
    <t xml:space="preserve">Rindermast: </t>
  </si>
  <si>
    <t>1.800 Plätze</t>
  </si>
  <si>
    <t>12 Stallanlagen</t>
  </si>
  <si>
    <t>Biogasanlage:</t>
  </si>
  <si>
    <t>920 kW</t>
  </si>
  <si>
    <t xml:space="preserve">1.100 ha </t>
  </si>
  <si>
    <t>(68 t je Tag)</t>
  </si>
  <si>
    <t>Zinsanspruch</t>
  </si>
  <si>
    <t>€ p.a.</t>
  </si>
  <si>
    <t>Quelle [1]</t>
  </si>
  <si>
    <t>Mast ab Starterkalb:</t>
  </si>
  <si>
    <t>Mast ab Fresser:</t>
  </si>
  <si>
    <t>Fütterungsanteil (%)</t>
  </si>
  <si>
    <t>Fresser (männlich) 180-250 kg</t>
  </si>
  <si>
    <t>Fresser (weiblich) 180-250 kg</t>
  </si>
  <si>
    <t>Luzerne</t>
  </si>
  <si>
    <t>Erträge (dt/ha)</t>
  </si>
  <si>
    <t>Druschroggen</t>
  </si>
  <si>
    <t>Vinasse</t>
  </si>
  <si>
    <t>Ganzpflanzensilage</t>
  </si>
  <si>
    <t>BWZ:</t>
  </si>
  <si>
    <t>12-73 Bodenpunkte</t>
  </si>
  <si>
    <t>ø 42,5 Bodenpunkte</t>
  </si>
  <si>
    <t>Technik:</t>
  </si>
  <si>
    <t>90-360 PS</t>
  </si>
  <si>
    <t>Pflug</t>
  </si>
  <si>
    <t>Schwergrubber</t>
  </si>
  <si>
    <t>4,20 m</t>
  </si>
  <si>
    <t>Scheibenegge</t>
  </si>
  <si>
    <t>6,00 m</t>
  </si>
  <si>
    <t>18-24 m³</t>
  </si>
  <si>
    <t>Drillmaschine</t>
  </si>
  <si>
    <t>4,00 m</t>
  </si>
  <si>
    <t xml:space="preserve">Schwader </t>
  </si>
  <si>
    <t>13,50 m</t>
  </si>
  <si>
    <t xml:space="preserve">2 LKW </t>
  </si>
  <si>
    <t>28 m³</t>
  </si>
  <si>
    <t>3x Mähwerke</t>
  </si>
  <si>
    <t>3x Güllefässer</t>
  </si>
  <si>
    <t>2x Häcksler</t>
  </si>
  <si>
    <t>2x Mähdrescher</t>
  </si>
  <si>
    <t>9x Schlepper</t>
  </si>
  <si>
    <t>4,00 m/4,00 m/3,00 m</t>
  </si>
  <si>
    <t>Leistungsdaten</t>
  </si>
  <si>
    <t>Einzelkornlege</t>
  </si>
  <si>
    <t>NewHolland, Claas</t>
  </si>
  <si>
    <t>John Deere</t>
  </si>
  <si>
    <t>Lemken</t>
  </si>
  <si>
    <t>Väderstad</t>
  </si>
  <si>
    <t>Kverneland</t>
  </si>
  <si>
    <t>Kuhn</t>
  </si>
  <si>
    <t>Fella</t>
  </si>
  <si>
    <t>Volvo, Renault</t>
  </si>
  <si>
    <t>(vollmechanisiert)</t>
  </si>
  <si>
    <t>2x Teleskoplader</t>
  </si>
  <si>
    <t>JCB</t>
  </si>
  <si>
    <t>Futtermischwagen</t>
  </si>
  <si>
    <t>Spritze</t>
  </si>
  <si>
    <t>Düngerstreuer</t>
  </si>
  <si>
    <t>Inuma</t>
  </si>
  <si>
    <t>Amazone</t>
  </si>
  <si>
    <t>3x Anhänger</t>
  </si>
  <si>
    <t>Bergman, Annaburger</t>
  </si>
  <si>
    <t>Tandem</t>
  </si>
  <si>
    <t>5000 l; 27,00 m</t>
  </si>
  <si>
    <t>2.500 kg; 27,00 m</t>
  </si>
  <si>
    <t>16 m³</t>
  </si>
  <si>
    <t>125-135 PS</t>
  </si>
  <si>
    <t>Zunhammer, Annaburger</t>
  </si>
  <si>
    <t>480-560 PS</t>
  </si>
  <si>
    <t>10 Schare</t>
  </si>
  <si>
    <t xml:space="preserve">5,20-7,5 m </t>
  </si>
  <si>
    <t>Fendt, New Holland, 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</si>
</sst>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"/>
    <numFmt numFmtId="167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9"/>
      <name val="Times New Roman"/>
      <family val="1"/>
    </font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u/>
      <sz val="14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theme="1"/>
      <name val="Times"/>
    </font>
    <font>
      <b/>
      <i/>
      <sz val="11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3">
    <xf numFmtId="0" fontId="0" fillId="0" borderId="0" xfId="0"/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5" fontId="3" fillId="4" borderId="0" xfId="0" applyNumberFormat="1" applyFont="1" applyFill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/>
    </xf>
    <xf numFmtId="0" fontId="5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13" xfId="0" applyNumberFormat="1" applyFont="1" applyFill="1" applyBorder="1" applyAlignment="1">
      <alignment horizontal="center" vertical="center"/>
    </xf>
    <xf numFmtId="2" fontId="2" fillId="6" borderId="16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5" borderId="2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9" fillId="0" borderId="0" xfId="0" applyFont="1"/>
    <xf numFmtId="0" fontId="2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8" xfId="0" applyBorder="1"/>
    <xf numFmtId="1" fontId="3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/>
    <xf numFmtId="0" fontId="3" fillId="0" borderId="26" xfId="0" applyFont="1" applyBorder="1"/>
    <xf numFmtId="0" fontId="3" fillId="0" borderId="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3" fillId="0" borderId="38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6" fillId="0" borderId="39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67" fontId="3" fillId="0" borderId="16" xfId="2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7" fontId="3" fillId="0" borderId="18" xfId="2" applyNumberFormat="1" applyFont="1" applyBorder="1" applyAlignment="1">
      <alignment horizontal="center"/>
    </xf>
    <xf numFmtId="0" fontId="3" fillId="0" borderId="25" xfId="0" applyFont="1" applyBorder="1"/>
    <xf numFmtId="164" fontId="12" fillId="0" borderId="32" xfId="0" applyNumberFormat="1" applyFont="1" applyBorder="1" applyAlignment="1">
      <alignment horizontal="center"/>
    </xf>
    <xf numFmtId="164" fontId="12" fillId="0" borderId="32" xfId="2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5" xfId="0" applyFont="1" applyBorder="1"/>
    <xf numFmtId="0" fontId="3" fillId="0" borderId="8" xfId="0" applyFont="1" applyBorder="1"/>
    <xf numFmtId="0" fontId="3" fillId="0" borderId="21" xfId="0" applyFont="1" applyBorder="1"/>
    <xf numFmtId="1" fontId="3" fillId="0" borderId="1" xfId="3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2" fillId="2" borderId="18" xfId="2" applyNumberFormat="1" applyFont="1" applyFill="1" applyBorder="1" applyAlignment="1">
      <alignment horizontal="right" vertical="center"/>
    </xf>
    <xf numFmtId="2" fontId="3" fillId="0" borderId="11" xfId="2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2" fontId="2" fillId="6" borderId="16" xfId="0" applyNumberFormat="1" applyFont="1" applyFill="1" applyBorder="1" applyAlignment="1">
      <alignment horizontal="center"/>
    </xf>
    <xf numFmtId="2" fontId="3" fillId="0" borderId="11" xfId="2" applyNumberFormat="1" applyFont="1" applyBorder="1" applyAlignment="1">
      <alignment horizontal="right"/>
    </xf>
    <xf numFmtId="2" fontId="3" fillId="0" borderId="18" xfId="2" applyNumberFormat="1" applyFont="1" applyBorder="1" applyAlignment="1">
      <alignment horizontal="right"/>
    </xf>
    <xf numFmtId="2" fontId="3" fillId="0" borderId="16" xfId="2" applyNumberFormat="1" applyFont="1" applyBorder="1" applyAlignment="1">
      <alignment horizontal="right"/>
    </xf>
    <xf numFmtId="2" fontId="2" fillId="2" borderId="19" xfId="2" applyNumberFormat="1" applyFont="1" applyFill="1" applyBorder="1" applyAlignment="1">
      <alignment horizontal="right"/>
    </xf>
    <xf numFmtId="2" fontId="2" fillId="2" borderId="34" xfId="2" applyNumberFormat="1" applyFont="1" applyFill="1" applyBorder="1" applyAlignment="1">
      <alignment horizontal="right"/>
    </xf>
    <xf numFmtId="2" fontId="3" fillId="0" borderId="11" xfId="2" applyNumberFormat="1" applyFont="1" applyBorder="1" applyAlignment="1">
      <alignment vertical="center"/>
    </xf>
    <xf numFmtId="2" fontId="3" fillId="0" borderId="11" xfId="0" applyNumberFormat="1" applyFont="1" applyBorder="1"/>
    <xf numFmtId="2" fontId="2" fillId="2" borderId="18" xfId="0" applyNumberFormat="1" applyFont="1" applyFill="1" applyBorder="1"/>
    <xf numFmtId="0" fontId="3" fillId="0" borderId="23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0" borderId="0" xfId="2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1" xfId="0" applyBorder="1"/>
    <xf numFmtId="165" fontId="3" fillId="0" borderId="21" xfId="0" applyNumberFormat="1" applyFont="1" applyBorder="1" applyAlignment="1">
      <alignment vertic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3" fillId="0" borderId="27" xfId="0" applyFont="1" applyBorder="1" applyAlignment="1">
      <alignment vertical="center"/>
    </xf>
    <xf numFmtId="9" fontId="3" fillId="0" borderId="21" xfId="0" applyNumberFormat="1" applyFont="1" applyBorder="1" applyAlignment="1">
      <alignment horizontal="right" vertical="center"/>
    </xf>
    <xf numFmtId="9" fontId="3" fillId="0" borderId="21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8" fillId="0" borderId="0" xfId="0" applyFont="1"/>
    <xf numFmtId="0" fontId="2" fillId="8" borderId="7" xfId="0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0" fillId="0" borderId="21" xfId="0" applyBorder="1"/>
    <xf numFmtId="0" fontId="2" fillId="0" borderId="44" xfId="0" applyFont="1" applyBorder="1" applyAlignment="1">
      <alignment vertical="center"/>
    </xf>
    <xf numFmtId="0" fontId="8" fillId="4" borderId="0" xfId="0" applyFont="1" applyFill="1"/>
    <xf numFmtId="0" fontId="0" fillId="4" borderId="0" xfId="0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</cellXfs>
  <cellStyles count="4">
    <cellStyle name="Komma" xfId="2" builtinId="3"/>
    <cellStyle name="Prozent" xfId="3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Viehbestände in Deutschland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654542801013597"/>
          <c:y val="0.17291375291375294"/>
          <c:w val="0.85846877293792934"/>
          <c:h val="0.61229190756749807"/>
        </c:manualLayout>
      </c:layout>
      <c:lineChart>
        <c:grouping val="standard"/>
        <c:varyColors val="0"/>
        <c:ser>
          <c:idx val="0"/>
          <c:order val="0"/>
          <c:tx>
            <c:strRef>
              <c:f>Anhang!$H$3</c:f>
              <c:strCache>
                <c:ptCount val="1"/>
                <c:pt idx="0">
                  <c:v>Rinder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Anhang!$B$4:$B$21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Anhang!$H$4:$H$21</c:f>
              <c:numCache>
                <c:formatCode>General</c:formatCode>
                <c:ptCount val="18"/>
                <c:pt idx="0">
                  <c:v>4285724</c:v>
                </c:pt>
                <c:pt idx="1">
                  <c:v>4356958</c:v>
                </c:pt>
                <c:pt idx="2">
                  <c:v>4272078</c:v>
                </c:pt>
                <c:pt idx="3">
                  <c:v>3969135</c:v>
                </c:pt>
                <c:pt idx="4">
                  <c:v>4141144</c:v>
                </c:pt>
                <c:pt idx="5">
                  <c:v>3772807</c:v>
                </c:pt>
                <c:pt idx="6">
                  <c:v>3806192</c:v>
                </c:pt>
                <c:pt idx="7">
                  <c:v>3715064</c:v>
                </c:pt>
                <c:pt idx="8">
                  <c:v>3817624</c:v>
                </c:pt>
                <c:pt idx="9">
                  <c:v>3794128</c:v>
                </c:pt>
                <c:pt idx="10">
                  <c:v>3803813</c:v>
                </c:pt>
                <c:pt idx="11">
                  <c:v>3719013</c:v>
                </c:pt>
                <c:pt idx="12">
                  <c:v>3653786</c:v>
                </c:pt>
                <c:pt idx="13">
                  <c:v>3521572</c:v>
                </c:pt>
                <c:pt idx="14">
                  <c:v>3606443</c:v>
                </c:pt>
                <c:pt idx="15">
                  <c:v>3581953</c:v>
                </c:pt>
                <c:pt idx="16">
                  <c:v>3640070</c:v>
                </c:pt>
                <c:pt idx="17">
                  <c:v>3549432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E-48E7-B47D-61993D3E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795248"/>
        <c:axId val="328795632"/>
      </c:lineChart>
      <c:catAx>
        <c:axId val="32879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8795632"/>
        <c:crosses val="autoZero"/>
        <c:auto val="1"/>
        <c:lblAlgn val="ctr"/>
        <c:lblOffset val="100"/>
        <c:noMultiLvlLbl val="0"/>
      </c:catAx>
      <c:valAx>
        <c:axId val="328795632"/>
        <c:scaling>
          <c:orientation val="minMax"/>
          <c:min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87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Viehbestände in Deutschland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Anhang!$C$3</c:f>
              <c:strCache>
                <c:ptCount val="1"/>
                <c:pt idx="0">
                  <c:v>Ochsen und Bullen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Anhang!$B$13:$B$21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Anhang!$C$13:$C$21</c:f>
              <c:numCache>
                <c:formatCode>General</c:formatCode>
                <c:ptCount val="9"/>
                <c:pt idx="0">
                  <c:v>1578983</c:v>
                </c:pt>
                <c:pt idx="1">
                  <c:v>1583245</c:v>
                </c:pt>
                <c:pt idx="2">
                  <c:v>1502384</c:v>
                </c:pt>
                <c:pt idx="3">
                  <c:v>1458546</c:v>
                </c:pt>
                <c:pt idx="4">
                  <c:v>1444136</c:v>
                </c:pt>
                <c:pt idx="5">
                  <c:v>1465046</c:v>
                </c:pt>
                <c:pt idx="6">
                  <c:v>1448025</c:v>
                </c:pt>
                <c:pt idx="7">
                  <c:v>1366115</c:v>
                </c:pt>
                <c:pt idx="8">
                  <c:v>1365931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8-4DEC-85B1-7B03E5638EBE}"/>
            </c:ext>
          </c:extLst>
        </c:ser>
        <c:ser>
          <c:idx val="1"/>
          <c:order val="1"/>
          <c:tx>
            <c:strRef>
              <c:f>Anhang!$D$3</c:f>
              <c:strCache>
                <c:ptCount val="1"/>
                <c:pt idx="0">
                  <c:v>Kühe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Anhang!$B$13:$B$21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Anhang!$D$13:$D$21</c:f>
              <c:numCache>
                <c:formatCode>General</c:formatCode>
                <c:ptCount val="9"/>
                <c:pt idx="0">
                  <c:v>1378951</c:v>
                </c:pt>
                <c:pt idx="1">
                  <c:v>1340955</c:v>
                </c:pt>
                <c:pt idx="2">
                  <c:v>1310343</c:v>
                </c:pt>
                <c:pt idx="3">
                  <c:v>1285572</c:v>
                </c:pt>
                <c:pt idx="4">
                  <c:v>1221705</c:v>
                </c:pt>
                <c:pt idx="5">
                  <c:v>1285466</c:v>
                </c:pt>
                <c:pt idx="6">
                  <c:v>1249346</c:v>
                </c:pt>
                <c:pt idx="7">
                  <c:v>1339922</c:v>
                </c:pt>
                <c:pt idx="8">
                  <c:v>1254820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8-4DEC-85B1-7B03E5638EBE}"/>
            </c:ext>
          </c:extLst>
        </c:ser>
        <c:ser>
          <c:idx val="2"/>
          <c:order val="2"/>
          <c:tx>
            <c:strRef>
              <c:f>Anhang!$E$3</c:f>
              <c:strCache>
                <c:ptCount val="1"/>
                <c:pt idx="0">
                  <c:v>Färsen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Anhang!$B$13:$B$21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Anhang!$E$13:$E$21</c:f>
              <c:numCache>
                <c:formatCode>General</c:formatCode>
                <c:ptCount val="9"/>
                <c:pt idx="0">
                  <c:v>495561</c:v>
                </c:pt>
                <c:pt idx="1">
                  <c:v>527639</c:v>
                </c:pt>
                <c:pt idx="2">
                  <c:v>525661</c:v>
                </c:pt>
                <c:pt idx="3">
                  <c:v>499409</c:v>
                </c:pt>
                <c:pt idx="4">
                  <c:v>484152</c:v>
                </c:pt>
                <c:pt idx="5">
                  <c:v>487309</c:v>
                </c:pt>
                <c:pt idx="6">
                  <c:v>521133</c:v>
                </c:pt>
                <c:pt idx="7">
                  <c:v>555570</c:v>
                </c:pt>
                <c:pt idx="8">
                  <c:v>557274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8-4DEC-85B1-7B03E5638EBE}"/>
            </c:ext>
          </c:extLst>
        </c:ser>
        <c:ser>
          <c:idx val="3"/>
          <c:order val="3"/>
          <c:tx>
            <c:strRef>
              <c:f>Anhang!$F$3</c:f>
              <c:strCache>
                <c:ptCount val="1"/>
                <c:pt idx="0">
                  <c:v>Jungrinder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Anhang!$B$13:$B$21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Anhang!$F$13:$F$21</c:f>
              <c:numCache>
                <c:formatCode>General</c:formatCode>
                <c:ptCount val="9"/>
                <c:pt idx="0">
                  <c:v>31366</c:v>
                </c:pt>
                <c:pt idx="1">
                  <c:v>30266</c:v>
                </c:pt>
                <c:pt idx="2">
                  <c:v>47305</c:v>
                </c:pt>
                <c:pt idx="3">
                  <c:v>66873</c:v>
                </c:pt>
                <c:pt idx="4">
                  <c:v>53131</c:v>
                </c:pt>
                <c:pt idx="5">
                  <c:v>44223</c:v>
                </c:pt>
                <c:pt idx="6">
                  <c:v>39890</c:v>
                </c:pt>
                <c:pt idx="7">
                  <c:v>38875</c:v>
                </c:pt>
                <c:pt idx="8">
                  <c:v>40089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8-4DEC-85B1-7B03E5638EBE}"/>
            </c:ext>
          </c:extLst>
        </c:ser>
        <c:ser>
          <c:idx val="4"/>
          <c:order val="4"/>
          <c:tx>
            <c:strRef>
              <c:f>Anhang!$G$3</c:f>
              <c:strCache>
                <c:ptCount val="1"/>
                <c:pt idx="0">
                  <c:v>Kälber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Anhang!$B$13:$B$21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Anhang!$G$13:$G$21</c:f>
              <c:numCache>
                <c:formatCode>General</c:formatCode>
                <c:ptCount val="9"/>
                <c:pt idx="0">
                  <c:v>307258</c:v>
                </c:pt>
                <c:pt idx="1">
                  <c:v>321708</c:v>
                </c:pt>
                <c:pt idx="2">
                  <c:v>333320</c:v>
                </c:pt>
                <c:pt idx="3">
                  <c:v>343386</c:v>
                </c:pt>
                <c:pt idx="4">
                  <c:v>318448</c:v>
                </c:pt>
                <c:pt idx="5">
                  <c:v>324399</c:v>
                </c:pt>
                <c:pt idx="6">
                  <c:v>323559</c:v>
                </c:pt>
                <c:pt idx="7">
                  <c:v>339588</c:v>
                </c:pt>
                <c:pt idx="8">
                  <c:v>331318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28-4DEC-85B1-7B03E5638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422744"/>
        <c:axId val="328433720"/>
      </c:barChart>
      <c:lineChart>
        <c:grouping val="standard"/>
        <c:varyColors val="0"/>
        <c:ser>
          <c:idx val="5"/>
          <c:order val="5"/>
          <c:tx>
            <c:strRef>
              <c:f>Anhang!$H$3</c:f>
              <c:strCache>
                <c:ptCount val="1"/>
                <c:pt idx="0">
                  <c:v>Rinder gesamt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Anhang!$B$13:$B$21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Anhang!$H$13:$H$21</c:f>
              <c:numCache>
                <c:formatCode>General</c:formatCode>
                <c:ptCount val="9"/>
                <c:pt idx="0">
                  <c:v>3794128</c:v>
                </c:pt>
                <c:pt idx="1">
                  <c:v>3803813</c:v>
                </c:pt>
                <c:pt idx="2">
                  <c:v>3719013</c:v>
                </c:pt>
                <c:pt idx="3">
                  <c:v>3653786</c:v>
                </c:pt>
                <c:pt idx="4">
                  <c:v>3521572</c:v>
                </c:pt>
                <c:pt idx="5">
                  <c:v>3606443</c:v>
                </c:pt>
                <c:pt idx="6">
                  <c:v>3581953</c:v>
                </c:pt>
                <c:pt idx="7">
                  <c:v>3640070</c:v>
                </c:pt>
                <c:pt idx="8">
                  <c:v>3549432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28-4DEC-85B1-7B03E5638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422744"/>
        <c:axId val="328433720"/>
      </c:lineChart>
      <c:catAx>
        <c:axId val="32842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8433720"/>
        <c:crosses val="autoZero"/>
        <c:auto val="1"/>
        <c:lblAlgn val="ctr"/>
        <c:lblOffset val="100"/>
        <c:noMultiLvlLbl val="0"/>
      </c:catAx>
      <c:valAx>
        <c:axId val="32843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842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2</xdr:row>
      <xdr:rowOff>14287</xdr:rowOff>
    </xdr:from>
    <xdr:to>
      <xdr:col>16</xdr:col>
      <xdr:colOff>266700</xdr:colOff>
      <xdr:row>15</xdr:row>
      <xdr:rowOff>90487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CB7CB26-F0ED-4582-837B-F772F36CD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761999</xdr:colOff>
      <xdr:row>17</xdr:row>
      <xdr:rowOff>4761</xdr:rowOff>
    </xdr:from>
    <xdr:to>
      <xdr:col>16</xdr:col>
      <xdr:colOff>257174</xdr:colOff>
      <xdr:row>34</xdr:row>
      <xdr:rowOff>66674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3C6E296-580E-4024-B7D9-2EF28968B6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E32" sqref="E32"/>
    </sheetView>
  </sheetViews>
  <sheetFormatPr baseColWidth="10" defaultRowHeight="15" x14ac:dyDescent="0.25"/>
  <cols>
    <col min="2" max="2" width="16.28515625" customWidth="1"/>
    <col min="3" max="3" width="23" customWidth="1"/>
    <col min="6" max="6" width="23.140625" customWidth="1"/>
    <col min="7" max="7" width="23.42578125" customWidth="1"/>
  </cols>
  <sheetData>
    <row r="1" spans="1:7" ht="20.100000000000001" customHeight="1" x14ac:dyDescent="0.25"/>
    <row r="2" spans="1:7" ht="20.100000000000001" customHeight="1" x14ac:dyDescent="0.35">
      <c r="B2" s="8" t="s">
        <v>145</v>
      </c>
      <c r="C2" s="153" t="s">
        <v>146</v>
      </c>
    </row>
    <row r="3" spans="1:7" ht="20.100000000000001" customHeight="1" thickBot="1" x14ac:dyDescent="0.3"/>
    <row r="4" spans="1:7" ht="20.100000000000001" customHeight="1" thickBot="1" x14ac:dyDescent="0.3">
      <c r="B4" s="107" t="s">
        <v>0</v>
      </c>
      <c r="C4" s="108" t="s">
        <v>136</v>
      </c>
      <c r="D4" s="116" t="s">
        <v>132</v>
      </c>
      <c r="E4" s="116" t="s">
        <v>133</v>
      </c>
      <c r="F4" s="116" t="s">
        <v>134</v>
      </c>
      <c r="G4" s="117" t="s">
        <v>135</v>
      </c>
    </row>
    <row r="5" spans="1:7" ht="20.100000000000001" customHeight="1" x14ac:dyDescent="0.25">
      <c r="A5" s="93" t="s">
        <v>142</v>
      </c>
      <c r="B5" s="95" t="s">
        <v>6</v>
      </c>
      <c r="C5" s="101">
        <v>50</v>
      </c>
      <c r="D5" s="88">
        <v>17</v>
      </c>
      <c r="E5" s="109">
        <f>D5*30.417</f>
        <v>517.08900000000006</v>
      </c>
      <c r="F5" s="109">
        <v>1300</v>
      </c>
      <c r="G5" s="110">
        <f>E5*F5/1000+C5</f>
        <v>722.21570000000008</v>
      </c>
    </row>
    <row r="6" spans="1:7" ht="20.100000000000001" customHeight="1" thickBot="1" x14ac:dyDescent="0.3">
      <c r="A6" s="94"/>
      <c r="B6" s="39" t="s">
        <v>7</v>
      </c>
      <c r="C6" s="40">
        <v>50</v>
      </c>
      <c r="D6" s="74">
        <v>20</v>
      </c>
      <c r="E6" s="111">
        <f t="shared" ref="E6:E10" si="0">D6*30.417</f>
        <v>608.34</v>
      </c>
      <c r="F6" s="111">
        <v>1050</v>
      </c>
      <c r="G6" s="112">
        <f t="shared" ref="G6:G10" si="1">E6*F6/1000+C6</f>
        <v>688.75699999999995</v>
      </c>
    </row>
    <row r="7" spans="1:7" ht="20.100000000000001" customHeight="1" x14ac:dyDescent="0.25">
      <c r="A7" s="93" t="s">
        <v>91</v>
      </c>
      <c r="B7" s="95" t="s">
        <v>6</v>
      </c>
      <c r="C7" s="101">
        <v>50</v>
      </c>
      <c r="D7" s="88">
        <v>18</v>
      </c>
      <c r="E7" s="109">
        <f t="shared" si="0"/>
        <v>547.50600000000009</v>
      </c>
      <c r="F7" s="109">
        <v>1100</v>
      </c>
      <c r="G7" s="110">
        <f t="shared" si="1"/>
        <v>652.25660000000005</v>
      </c>
    </row>
    <row r="8" spans="1:7" ht="20.100000000000001" customHeight="1" thickBot="1" x14ac:dyDescent="0.3">
      <c r="A8" s="94"/>
      <c r="B8" s="39" t="s">
        <v>7</v>
      </c>
      <c r="C8" s="40">
        <v>50</v>
      </c>
      <c r="D8" s="74">
        <v>21</v>
      </c>
      <c r="E8" s="111">
        <f t="shared" si="0"/>
        <v>638.75700000000006</v>
      </c>
      <c r="F8" s="111">
        <v>1000</v>
      </c>
      <c r="G8" s="112">
        <f t="shared" si="1"/>
        <v>688.75700000000006</v>
      </c>
    </row>
    <row r="9" spans="1:7" ht="20.100000000000001" customHeight="1" x14ac:dyDescent="0.25">
      <c r="A9" s="93" t="s">
        <v>92</v>
      </c>
      <c r="B9" s="95" t="s">
        <v>6</v>
      </c>
      <c r="C9" s="101">
        <v>50</v>
      </c>
      <c r="D9" s="88">
        <v>17</v>
      </c>
      <c r="E9" s="109">
        <f t="shared" si="0"/>
        <v>517.08900000000006</v>
      </c>
      <c r="F9" s="109">
        <v>1400</v>
      </c>
      <c r="G9" s="110">
        <f t="shared" si="1"/>
        <v>773.92460000000005</v>
      </c>
    </row>
    <row r="10" spans="1:7" ht="20.100000000000001" customHeight="1" thickBot="1" x14ac:dyDescent="0.3">
      <c r="A10" s="94"/>
      <c r="B10" s="39" t="s">
        <v>7</v>
      </c>
      <c r="C10" s="40">
        <v>50</v>
      </c>
      <c r="D10" s="74">
        <v>20</v>
      </c>
      <c r="E10" s="111">
        <f t="shared" si="0"/>
        <v>608.34</v>
      </c>
      <c r="F10" s="111">
        <v>1100</v>
      </c>
      <c r="G10" s="112">
        <f t="shared" si="1"/>
        <v>719.17399999999998</v>
      </c>
    </row>
    <row r="11" spans="1:7" ht="20.100000000000001" customHeight="1" x14ac:dyDescent="0.25">
      <c r="A11" s="150"/>
      <c r="B11" s="31"/>
      <c r="C11" s="31"/>
      <c r="D11" s="7"/>
      <c r="E11" s="151"/>
      <c r="F11" s="151"/>
      <c r="G11" s="152"/>
    </row>
    <row r="12" spans="1:7" ht="20.100000000000001" customHeight="1" x14ac:dyDescent="0.25">
      <c r="A12" s="150"/>
      <c r="B12" s="31"/>
      <c r="C12" s="154" t="s">
        <v>147</v>
      </c>
      <c r="D12" s="7"/>
      <c r="E12" s="151"/>
      <c r="F12" s="151"/>
      <c r="G12" s="152"/>
    </row>
    <row r="13" spans="1:7" ht="20.100000000000001" customHeight="1" thickBot="1" x14ac:dyDescent="0.3"/>
    <row r="14" spans="1:7" ht="20.100000000000001" customHeight="1" thickBot="1" x14ac:dyDescent="0.3">
      <c r="B14" s="107" t="s">
        <v>0</v>
      </c>
      <c r="C14" s="108" t="s">
        <v>136</v>
      </c>
      <c r="D14" s="116" t="s">
        <v>132</v>
      </c>
      <c r="E14" s="116" t="s">
        <v>133</v>
      </c>
      <c r="F14" s="116" t="s">
        <v>134</v>
      </c>
      <c r="G14" s="117" t="s">
        <v>135</v>
      </c>
    </row>
    <row r="15" spans="1:7" ht="20.100000000000001" customHeight="1" x14ac:dyDescent="0.25">
      <c r="A15" s="93" t="s">
        <v>142</v>
      </c>
      <c r="B15" s="95" t="s">
        <v>6</v>
      </c>
      <c r="C15" s="101">
        <v>95</v>
      </c>
      <c r="D15" s="88">
        <v>15.5</v>
      </c>
      <c r="E15" s="109">
        <f>D15*30.417</f>
        <v>471.46350000000001</v>
      </c>
      <c r="F15" s="109">
        <v>1300</v>
      </c>
      <c r="G15" s="110">
        <f>E15*F15/1000+C15</f>
        <v>707.90255000000002</v>
      </c>
    </row>
    <row r="16" spans="1:7" ht="20.100000000000001" customHeight="1" thickBot="1" x14ac:dyDescent="0.3">
      <c r="A16" s="94"/>
      <c r="B16" s="39" t="s">
        <v>7</v>
      </c>
      <c r="C16" s="40">
        <v>95</v>
      </c>
      <c r="D16" s="74">
        <v>18.5</v>
      </c>
      <c r="E16" s="111">
        <f t="shared" ref="E16:E20" si="2">D16*30.417</f>
        <v>562.71450000000004</v>
      </c>
      <c r="F16" s="111">
        <v>1050</v>
      </c>
      <c r="G16" s="112">
        <f t="shared" ref="G16:G20" si="3">E16*F16/1000+C16</f>
        <v>685.85022500000014</v>
      </c>
    </row>
    <row r="17" spans="1:7" ht="20.100000000000001" customHeight="1" x14ac:dyDescent="0.25">
      <c r="A17" s="93" t="s">
        <v>91</v>
      </c>
      <c r="B17" s="95" t="s">
        <v>6</v>
      </c>
      <c r="C17" s="101">
        <v>95</v>
      </c>
      <c r="D17" s="88">
        <v>16.5</v>
      </c>
      <c r="E17" s="109">
        <f t="shared" si="2"/>
        <v>501.88050000000004</v>
      </c>
      <c r="F17" s="109">
        <v>1100</v>
      </c>
      <c r="G17" s="110">
        <f t="shared" si="3"/>
        <v>647.06855000000007</v>
      </c>
    </row>
    <row r="18" spans="1:7" ht="20.100000000000001" customHeight="1" thickBot="1" x14ac:dyDescent="0.3">
      <c r="A18" s="94"/>
      <c r="B18" s="39" t="s">
        <v>7</v>
      </c>
      <c r="C18" s="40">
        <v>95</v>
      </c>
      <c r="D18" s="74">
        <v>19.5</v>
      </c>
      <c r="E18" s="111">
        <f t="shared" si="2"/>
        <v>593.13150000000007</v>
      </c>
      <c r="F18" s="111">
        <v>1000</v>
      </c>
      <c r="G18" s="112">
        <f t="shared" si="3"/>
        <v>688.13150000000007</v>
      </c>
    </row>
    <row r="19" spans="1:7" ht="20.100000000000001" customHeight="1" x14ac:dyDescent="0.25">
      <c r="A19" s="93" t="s">
        <v>92</v>
      </c>
      <c r="B19" s="95" t="s">
        <v>6</v>
      </c>
      <c r="C19" s="101">
        <v>95</v>
      </c>
      <c r="D19" s="88">
        <v>15.5</v>
      </c>
      <c r="E19" s="109">
        <f t="shared" si="2"/>
        <v>471.46350000000001</v>
      </c>
      <c r="F19" s="109">
        <v>1400</v>
      </c>
      <c r="G19" s="110">
        <f t="shared" si="3"/>
        <v>755.0489</v>
      </c>
    </row>
    <row r="20" spans="1:7" ht="20.100000000000001" customHeight="1" thickBot="1" x14ac:dyDescent="0.3">
      <c r="A20" s="94"/>
      <c r="B20" s="39" t="s">
        <v>7</v>
      </c>
      <c r="C20" s="40">
        <v>95</v>
      </c>
      <c r="D20" s="74">
        <v>18.5</v>
      </c>
      <c r="E20" s="111">
        <f t="shared" si="2"/>
        <v>562.71450000000004</v>
      </c>
      <c r="F20" s="111">
        <v>1100</v>
      </c>
      <c r="G20" s="112">
        <f t="shared" si="3"/>
        <v>713.98595000000012</v>
      </c>
    </row>
    <row r="21" spans="1:7" ht="20.100000000000001" customHeight="1" x14ac:dyDescent="0.25"/>
    <row r="22" spans="1:7" ht="20.100000000000001" customHeight="1" x14ac:dyDescent="0.3">
      <c r="C22" s="153" t="s">
        <v>148</v>
      </c>
    </row>
    <row r="23" spans="1:7" ht="20.100000000000001" customHeight="1" thickBot="1" x14ac:dyDescent="0.3"/>
    <row r="24" spans="1:7" ht="20.100000000000001" customHeight="1" thickBot="1" x14ac:dyDescent="0.3">
      <c r="B24" s="107" t="s">
        <v>0</v>
      </c>
      <c r="C24" s="108" t="s">
        <v>136</v>
      </c>
      <c r="D24" s="116" t="s">
        <v>132</v>
      </c>
      <c r="E24" s="116" t="s">
        <v>133</v>
      </c>
      <c r="F24" s="116" t="s">
        <v>134</v>
      </c>
      <c r="G24" s="117" t="s">
        <v>135</v>
      </c>
    </row>
    <row r="25" spans="1:7" ht="20.100000000000001" customHeight="1" thickBot="1" x14ac:dyDescent="0.3">
      <c r="A25" s="93" t="s">
        <v>142</v>
      </c>
      <c r="B25" s="95" t="s">
        <v>6</v>
      </c>
      <c r="C25" s="101">
        <v>230</v>
      </c>
      <c r="D25" s="88">
        <v>12.25</v>
      </c>
      <c r="E25" s="109">
        <f>D25*30.417</f>
        <v>372.60825</v>
      </c>
      <c r="F25" s="109">
        <v>1300</v>
      </c>
      <c r="G25" s="110">
        <f>E25*F25/1000+C25</f>
        <v>714.39072499999997</v>
      </c>
    </row>
    <row r="26" spans="1:7" ht="20.100000000000001" customHeight="1" thickBot="1" x14ac:dyDescent="0.3">
      <c r="A26" s="94"/>
      <c r="B26" s="39" t="s">
        <v>7</v>
      </c>
      <c r="C26" s="101">
        <v>200</v>
      </c>
      <c r="D26" s="74">
        <v>15.75</v>
      </c>
      <c r="E26" s="111">
        <f t="shared" ref="E26:E30" si="4">D26*30.417</f>
        <v>479.06775000000005</v>
      </c>
      <c r="F26" s="111">
        <v>1050</v>
      </c>
      <c r="G26" s="112">
        <f t="shared" ref="G26:G30" si="5">E26*F26/1000+C26</f>
        <v>703.02113750000012</v>
      </c>
    </row>
    <row r="27" spans="1:7" ht="20.100000000000001" customHeight="1" thickBot="1" x14ac:dyDescent="0.3">
      <c r="A27" s="93" t="s">
        <v>91</v>
      </c>
      <c r="B27" s="95" t="s">
        <v>6</v>
      </c>
      <c r="C27" s="101">
        <v>230</v>
      </c>
      <c r="D27" s="88">
        <v>13.25</v>
      </c>
      <c r="E27" s="109">
        <f t="shared" si="4"/>
        <v>403.02525000000003</v>
      </c>
      <c r="F27" s="109">
        <v>1100</v>
      </c>
      <c r="G27" s="110">
        <f t="shared" si="5"/>
        <v>673.32777499999997</v>
      </c>
    </row>
    <row r="28" spans="1:7" ht="20.100000000000001" customHeight="1" thickBot="1" x14ac:dyDescent="0.3">
      <c r="A28" s="94"/>
      <c r="B28" s="39" t="s">
        <v>7</v>
      </c>
      <c r="C28" s="101">
        <v>200</v>
      </c>
      <c r="D28" s="74">
        <v>16.25</v>
      </c>
      <c r="E28" s="111">
        <f t="shared" si="4"/>
        <v>494.27625</v>
      </c>
      <c r="F28" s="111">
        <v>1000</v>
      </c>
      <c r="G28" s="112">
        <f t="shared" si="5"/>
        <v>694.27625</v>
      </c>
    </row>
    <row r="29" spans="1:7" ht="20.100000000000001" customHeight="1" thickBot="1" x14ac:dyDescent="0.3">
      <c r="A29" s="93" t="s">
        <v>92</v>
      </c>
      <c r="B29" s="95" t="s">
        <v>6</v>
      </c>
      <c r="C29" s="101">
        <v>230</v>
      </c>
      <c r="D29" s="88">
        <v>12.25</v>
      </c>
      <c r="E29" s="109">
        <f t="shared" si="4"/>
        <v>372.60825</v>
      </c>
      <c r="F29" s="109">
        <v>1400</v>
      </c>
      <c r="G29" s="110">
        <f t="shared" si="5"/>
        <v>751.65155000000004</v>
      </c>
    </row>
    <row r="30" spans="1:7" ht="20.100000000000001" customHeight="1" thickBot="1" x14ac:dyDescent="0.3">
      <c r="A30" s="94"/>
      <c r="B30" s="39" t="s">
        <v>7</v>
      </c>
      <c r="C30" s="101">
        <v>200</v>
      </c>
      <c r="D30" s="74">
        <v>15.25</v>
      </c>
      <c r="E30" s="111">
        <f t="shared" si="4"/>
        <v>463.85925000000003</v>
      </c>
      <c r="F30" s="111">
        <v>1100</v>
      </c>
      <c r="G30" s="112">
        <f t="shared" si="5"/>
        <v>710.24517500000002</v>
      </c>
    </row>
    <row r="31" spans="1:7" ht="20.100000000000001" customHeight="1" x14ac:dyDescent="0.25"/>
    <row r="32" spans="1:7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2" sqref="F12"/>
    </sheetView>
  </sheetViews>
  <sheetFormatPr baseColWidth="10" defaultRowHeight="15" x14ac:dyDescent="0.25"/>
  <cols>
    <col min="2" max="2" width="14.85546875" customWidth="1"/>
    <col min="3" max="3" width="5.5703125" customWidth="1"/>
    <col min="4" max="4" width="15.140625" customWidth="1"/>
    <col min="5" max="5" width="19.5703125" customWidth="1"/>
    <col min="6" max="6" width="19.28515625" customWidth="1"/>
    <col min="7" max="7" width="12.7109375" customWidth="1"/>
    <col min="8" max="8" width="12.85546875" customWidth="1"/>
  </cols>
  <sheetData>
    <row r="1" spans="1:8" ht="20.100000000000001" customHeight="1" x14ac:dyDescent="0.25"/>
    <row r="2" spans="1:8" ht="20.100000000000001" customHeight="1" x14ac:dyDescent="0.35">
      <c r="B2" s="8" t="s">
        <v>54</v>
      </c>
      <c r="C2" s="6"/>
      <c r="D2" s="6"/>
      <c r="E2" s="6"/>
      <c r="F2" s="6"/>
      <c r="G2" s="6"/>
      <c r="H2" s="6"/>
    </row>
    <row r="3" spans="1:8" ht="20.100000000000001" customHeight="1" thickBot="1" x14ac:dyDescent="0.3">
      <c r="B3" s="12"/>
      <c r="C3" s="6"/>
      <c r="D3" s="6"/>
      <c r="E3" s="6"/>
      <c r="F3" s="6"/>
      <c r="G3" s="13"/>
      <c r="H3" s="13"/>
    </row>
    <row r="4" spans="1:8" ht="20.100000000000001" customHeight="1" thickBot="1" x14ac:dyDescent="0.3">
      <c r="B4" s="41" t="s">
        <v>0</v>
      </c>
      <c r="C4" s="42" t="s">
        <v>1</v>
      </c>
      <c r="D4" s="42" t="s">
        <v>2</v>
      </c>
      <c r="E4" s="42" t="s">
        <v>55</v>
      </c>
      <c r="F4" s="42" t="s">
        <v>3</v>
      </c>
      <c r="G4" s="42" t="s">
        <v>8</v>
      </c>
      <c r="H4" s="43" t="s">
        <v>4</v>
      </c>
    </row>
    <row r="5" spans="1:8" ht="20.100000000000001" customHeight="1" x14ac:dyDescent="0.25">
      <c r="A5" s="49" t="s">
        <v>142</v>
      </c>
      <c r="B5" s="38" t="s">
        <v>6</v>
      </c>
      <c r="C5" s="16" t="s">
        <v>5</v>
      </c>
      <c r="D5" s="63">
        <f>Mastdauer!G5</f>
        <v>722.21570000000008</v>
      </c>
      <c r="E5" s="16">
        <v>57</v>
      </c>
      <c r="F5" s="63">
        <f t="shared" ref="F5:F6" si="0">D5/100*E5</f>
        <v>411.66294900000008</v>
      </c>
      <c r="G5" s="44">
        <v>3.86</v>
      </c>
      <c r="H5" s="45">
        <f t="shared" ref="H5:H6" si="1">F5*G5</f>
        <v>1589.0189831400003</v>
      </c>
    </row>
    <row r="6" spans="1:8" ht="20.100000000000001" customHeight="1" thickBot="1" x14ac:dyDescent="0.3">
      <c r="A6" s="96"/>
      <c r="B6" s="97" t="s">
        <v>7</v>
      </c>
      <c r="C6" s="18" t="s">
        <v>5</v>
      </c>
      <c r="D6" s="98">
        <f>Mastdauer!G6</f>
        <v>688.75699999999995</v>
      </c>
      <c r="E6" s="18">
        <v>56</v>
      </c>
      <c r="F6" s="76">
        <f t="shared" si="0"/>
        <v>385.70391999999998</v>
      </c>
      <c r="G6" s="99">
        <v>3.65</v>
      </c>
      <c r="H6" s="100">
        <f t="shared" si="1"/>
        <v>1407.8193079999999</v>
      </c>
    </row>
    <row r="7" spans="1:8" ht="20.100000000000001" customHeight="1" x14ac:dyDescent="0.25">
      <c r="A7" s="49" t="s">
        <v>91</v>
      </c>
      <c r="B7" s="95" t="s">
        <v>6</v>
      </c>
      <c r="C7" s="102" t="s">
        <v>5</v>
      </c>
      <c r="D7" s="103">
        <f>Mastdauer!G7</f>
        <v>652.25660000000005</v>
      </c>
      <c r="E7" s="102">
        <v>55</v>
      </c>
      <c r="F7" s="103">
        <f t="shared" ref="F7:F10" si="2">D7/100*E7</f>
        <v>358.74113</v>
      </c>
      <c r="G7" s="104">
        <v>3.86</v>
      </c>
      <c r="H7" s="105">
        <f t="shared" ref="H7:H10" si="3">F7*G7</f>
        <v>1384.7407618</v>
      </c>
    </row>
    <row r="8" spans="1:8" ht="20.100000000000001" customHeight="1" thickBot="1" x14ac:dyDescent="0.3">
      <c r="A8" s="50"/>
      <c r="B8" s="39" t="s">
        <v>7</v>
      </c>
      <c r="C8" s="46" t="s">
        <v>5</v>
      </c>
      <c r="D8" s="106">
        <f>Mastdauer!G8</f>
        <v>688.75700000000006</v>
      </c>
      <c r="E8" s="46">
        <v>54</v>
      </c>
      <c r="F8" s="64">
        <f t="shared" si="2"/>
        <v>371.92878000000002</v>
      </c>
      <c r="G8" s="47">
        <v>3.65</v>
      </c>
      <c r="H8" s="48">
        <f t="shared" si="3"/>
        <v>1357.540047</v>
      </c>
    </row>
    <row r="9" spans="1:8" ht="20.100000000000001" customHeight="1" x14ac:dyDescent="0.25">
      <c r="A9" s="49" t="s">
        <v>92</v>
      </c>
      <c r="B9" s="101" t="s">
        <v>6</v>
      </c>
      <c r="C9" s="102" t="s">
        <v>5</v>
      </c>
      <c r="D9" s="103">
        <f>Mastdauer!G9</f>
        <v>773.92460000000005</v>
      </c>
      <c r="E9" s="102">
        <v>58</v>
      </c>
      <c r="F9" s="103">
        <f t="shared" si="2"/>
        <v>448.87626800000004</v>
      </c>
      <c r="G9" s="104">
        <v>3.86</v>
      </c>
      <c r="H9" s="105">
        <f t="shared" si="3"/>
        <v>1732.6623944800001</v>
      </c>
    </row>
    <row r="10" spans="1:8" ht="20.100000000000001" customHeight="1" thickBot="1" x14ac:dyDescent="0.3">
      <c r="A10" s="50"/>
      <c r="B10" s="40" t="s">
        <v>7</v>
      </c>
      <c r="C10" s="46" t="s">
        <v>5</v>
      </c>
      <c r="D10" s="106">
        <f>Mastdauer!G10</f>
        <v>719.17399999999998</v>
      </c>
      <c r="E10" s="46">
        <v>55</v>
      </c>
      <c r="F10" s="64">
        <f t="shared" si="2"/>
        <v>395.54569999999995</v>
      </c>
      <c r="G10" s="47">
        <v>3.65</v>
      </c>
      <c r="H10" s="48">
        <f t="shared" si="3"/>
        <v>1443.7418049999999</v>
      </c>
    </row>
    <row r="11" spans="1:8" ht="20.100000000000001" customHeight="1" x14ac:dyDescent="0.25">
      <c r="A11" s="36"/>
      <c r="B11" s="14"/>
      <c r="C11" s="7"/>
      <c r="D11" s="7"/>
      <c r="E11" s="7"/>
      <c r="F11" s="7"/>
      <c r="G11" s="11"/>
      <c r="H11" s="37"/>
    </row>
    <row r="12" spans="1:8" ht="20.100000000000001" customHeight="1" x14ac:dyDescent="0.25"/>
    <row r="13" spans="1:8" ht="20.100000000000001" customHeight="1" x14ac:dyDescent="0.25"/>
    <row r="14" spans="1:8" ht="20.100000000000001" customHeight="1" x14ac:dyDescent="0.25"/>
    <row r="15" spans="1:8" ht="20.100000000000001" customHeight="1" x14ac:dyDescent="0.25"/>
    <row r="16" spans="1:8" ht="20.100000000000001" customHeight="1" x14ac:dyDescent="0.25">
      <c r="B16" s="14"/>
      <c r="C16" s="7"/>
      <c r="D16" s="7"/>
      <c r="E16" s="7"/>
      <c r="F16" s="7"/>
      <c r="G16" s="11"/>
    </row>
    <row r="18" spans="1:1" x14ac:dyDescent="0.25">
      <c r="A18" s="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B4" sqref="B4:C12"/>
    </sheetView>
  </sheetViews>
  <sheetFormatPr baseColWidth="10" defaultRowHeight="15" x14ac:dyDescent="0.25"/>
  <cols>
    <col min="1" max="1" width="13" customWidth="1"/>
    <col min="2" max="2" width="28.5703125" customWidth="1"/>
    <col min="3" max="3" width="20.140625" customWidth="1"/>
  </cols>
  <sheetData>
    <row r="1" spans="1:4" ht="20.100000000000001" customHeight="1" x14ac:dyDescent="0.25">
      <c r="A1" s="7"/>
      <c r="B1" s="7"/>
      <c r="C1" s="6"/>
    </row>
    <row r="2" spans="1:4" ht="20.100000000000001" customHeight="1" x14ac:dyDescent="0.35">
      <c r="A2" s="7"/>
      <c r="B2" s="118" t="s">
        <v>96</v>
      </c>
      <c r="C2" s="6"/>
    </row>
    <row r="3" spans="1:4" ht="20.100000000000001" customHeight="1" x14ac:dyDescent="0.25">
      <c r="A3" s="7"/>
      <c r="B3" s="7"/>
      <c r="C3" s="6"/>
    </row>
    <row r="4" spans="1:4" ht="20.100000000000001" customHeight="1" x14ac:dyDescent="0.25">
      <c r="A4" s="7"/>
      <c r="B4" s="33" t="s">
        <v>80</v>
      </c>
      <c r="C4" s="33" t="s">
        <v>104</v>
      </c>
      <c r="D4" s="6"/>
    </row>
    <row r="5" spans="1:4" ht="20.100000000000001" customHeight="1" x14ac:dyDescent="0.25">
      <c r="A5" s="7"/>
      <c r="B5" s="34" t="s">
        <v>99</v>
      </c>
      <c r="C5" s="183"/>
      <c r="D5" s="6"/>
    </row>
    <row r="6" spans="1:4" ht="20.100000000000001" customHeight="1" x14ac:dyDescent="0.25">
      <c r="A6" s="7"/>
      <c r="B6" s="16" t="s">
        <v>77</v>
      </c>
      <c r="C6" s="57">
        <f>Schlachterlöse!H9</f>
        <v>1732.6623944800001</v>
      </c>
      <c r="D6" s="6"/>
    </row>
    <row r="7" spans="1:4" ht="20.100000000000001" customHeight="1" x14ac:dyDescent="0.25">
      <c r="A7" s="7"/>
      <c r="B7" s="17" t="s">
        <v>78</v>
      </c>
      <c r="C7" s="58">
        <f>Schlachterlöse!H7</f>
        <v>1384.7407618</v>
      </c>
      <c r="D7" s="6"/>
    </row>
    <row r="8" spans="1:4" ht="20.100000000000001" customHeight="1" x14ac:dyDescent="0.25">
      <c r="A8" s="7"/>
      <c r="B8" s="18" t="s">
        <v>79</v>
      </c>
      <c r="C8" s="59">
        <f>Schlachterlöse!H5</f>
        <v>1589.0189831400003</v>
      </c>
      <c r="D8" s="6"/>
    </row>
    <row r="9" spans="1:4" ht="20.100000000000001" customHeight="1" x14ac:dyDescent="0.25">
      <c r="A9" s="7"/>
      <c r="B9" s="34" t="s">
        <v>100</v>
      </c>
      <c r="C9" s="60"/>
      <c r="D9" s="6"/>
    </row>
    <row r="10" spans="1:4" ht="20.100000000000001" customHeight="1" x14ac:dyDescent="0.25">
      <c r="A10" s="7"/>
      <c r="B10" s="16" t="s">
        <v>77</v>
      </c>
      <c r="C10" s="57">
        <f>Schlachterlöse!H10</f>
        <v>1443.7418049999999</v>
      </c>
      <c r="D10" s="6"/>
    </row>
    <row r="11" spans="1:4" ht="20.100000000000001" customHeight="1" x14ac:dyDescent="0.25">
      <c r="A11" s="7"/>
      <c r="B11" s="17" t="s">
        <v>78</v>
      </c>
      <c r="C11" s="58">
        <f>Schlachterlöse!H8</f>
        <v>1357.540047</v>
      </c>
      <c r="D11" s="6"/>
    </row>
    <row r="12" spans="1:4" ht="20.100000000000001" customHeight="1" x14ac:dyDescent="0.25">
      <c r="A12" s="7"/>
      <c r="B12" s="17" t="s">
        <v>79</v>
      </c>
      <c r="C12" s="58">
        <f>Schlachterlöse!H6</f>
        <v>1407.8193079999999</v>
      </c>
      <c r="D12" s="6"/>
    </row>
    <row r="13" spans="1:4" x14ac:dyDescent="0.25">
      <c r="A13" s="7"/>
      <c r="B13" s="7"/>
      <c r="C13" s="6"/>
      <c r="D13" s="6"/>
    </row>
    <row r="14" spans="1:4" x14ac:dyDescent="0.25">
      <c r="A14" s="7"/>
      <c r="B14" s="7"/>
      <c r="C14" s="6"/>
      <c r="D14" s="6"/>
    </row>
    <row r="15" spans="1:4" x14ac:dyDescent="0.25">
      <c r="A15" s="7"/>
      <c r="B15" s="14"/>
      <c r="C15" s="6"/>
      <c r="D15" s="6"/>
    </row>
    <row r="16" spans="1:4" x14ac:dyDescent="0.25">
      <c r="A16" s="7"/>
      <c r="B16" s="7"/>
      <c r="C16" s="6"/>
      <c r="D16" s="6"/>
    </row>
    <row r="17" spans="1:4" x14ac:dyDescent="0.25">
      <c r="A17" s="7"/>
      <c r="B17" s="7"/>
      <c r="C17" s="6"/>
      <c r="D17" s="6"/>
    </row>
    <row r="18" spans="1:4" x14ac:dyDescent="0.25">
      <c r="A18" s="7"/>
      <c r="B18" s="7"/>
      <c r="C18" s="6"/>
      <c r="D18" s="6"/>
    </row>
    <row r="19" spans="1:4" x14ac:dyDescent="0.25">
      <c r="A19" s="7"/>
      <c r="B19" s="7"/>
      <c r="C19" s="6"/>
      <c r="D19" s="6"/>
    </row>
    <row r="20" spans="1:4" x14ac:dyDescent="0.25">
      <c r="A20" s="7"/>
      <c r="B20" s="7"/>
      <c r="C20" s="6"/>
      <c r="D20" s="6"/>
    </row>
    <row r="21" spans="1:4" x14ac:dyDescent="0.25">
      <c r="A21" s="7"/>
      <c r="B21" s="7"/>
      <c r="C21" s="6"/>
      <c r="D21" s="6"/>
    </row>
    <row r="22" spans="1:4" x14ac:dyDescent="0.25">
      <c r="A22" s="7"/>
      <c r="B22" s="7"/>
      <c r="C22" s="6"/>
      <c r="D22" s="6"/>
    </row>
    <row r="23" spans="1:4" x14ac:dyDescent="0.25">
      <c r="A23" s="7"/>
      <c r="B23" s="7"/>
      <c r="C23" s="6"/>
      <c r="D23" s="6"/>
    </row>
    <row r="24" spans="1:4" x14ac:dyDescent="0.25">
      <c r="A24" s="7"/>
      <c r="B24" s="7"/>
      <c r="C24" s="6"/>
      <c r="D24" s="6"/>
    </row>
    <row r="25" spans="1:4" x14ac:dyDescent="0.25">
      <c r="A25" s="7"/>
      <c r="B25" s="7"/>
      <c r="C25" s="6"/>
      <c r="D25" s="6"/>
    </row>
    <row r="26" spans="1:4" x14ac:dyDescent="0.25">
      <c r="A26" s="7"/>
      <c r="B26" s="7"/>
      <c r="C26" s="6"/>
    </row>
    <row r="27" spans="1:4" x14ac:dyDescent="0.25">
      <c r="A27" s="6"/>
      <c r="B27" s="6"/>
      <c r="C27" s="6"/>
    </row>
  </sheetData>
  <conditionalFormatting sqref="C6:C8 C10:C12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{6958777E-76D1-4389-B39B-3EB31AD29606}</x14:id>
        </ext>
      </extLst>
    </cfRule>
  </conditionalFormatting>
  <conditionalFormatting sqref="C6:C1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{C70EE9EE-90FD-47F3-95DF-ACA1EA353F33}</x14:id>
        </ext>
      </extLs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58777E-76D1-4389-B39B-3EB31AD296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C6:C8 C10:C12</xm:sqref>
        </x14:conditionalFormatting>
        <x14:conditionalFormatting xmlns:xm="http://schemas.microsoft.com/office/excel/2006/main">
          <x14:cfRule type="dataBar" id="{C70EE9EE-90FD-47F3-95DF-ACA1EA353F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C6:C12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topLeftCell="A13" workbookViewId="0">
      <selection activeCell="C11" sqref="C11"/>
    </sheetView>
  </sheetViews>
  <sheetFormatPr baseColWidth="10" defaultRowHeight="15" x14ac:dyDescent="0.25"/>
  <cols>
    <col min="1" max="1" width="8.28515625" customWidth="1"/>
    <col min="2" max="2" width="30.140625" customWidth="1"/>
    <col min="3" max="3" width="19.7109375" customWidth="1"/>
    <col min="4" max="4" width="15.7109375" customWidth="1"/>
    <col min="5" max="5" width="18.140625" customWidth="1"/>
    <col min="6" max="6" width="37.5703125" customWidth="1"/>
    <col min="7" max="7" width="13.42578125" customWidth="1"/>
    <col min="8" max="8" width="15.28515625" bestFit="1" customWidth="1"/>
    <col min="9" max="9" width="17.140625" customWidth="1"/>
  </cols>
  <sheetData>
    <row r="2" spans="2:9" ht="15.75" thickBot="1" x14ac:dyDescent="0.3"/>
    <row r="3" spans="2:9" x14ac:dyDescent="0.25">
      <c r="B3" s="32" t="s">
        <v>75</v>
      </c>
      <c r="C3" s="32" t="s">
        <v>76</v>
      </c>
      <c r="F3" s="24" t="s">
        <v>71</v>
      </c>
      <c r="G3" s="25" t="s">
        <v>59</v>
      </c>
      <c r="H3" s="26" t="s">
        <v>72</v>
      </c>
    </row>
    <row r="4" spans="2:9" x14ac:dyDescent="0.25">
      <c r="B4" s="33" t="s">
        <v>80</v>
      </c>
      <c r="C4" s="33" t="s">
        <v>81</v>
      </c>
      <c r="F4" s="27" t="s">
        <v>69</v>
      </c>
      <c r="G4" s="28" t="s">
        <v>70</v>
      </c>
      <c r="H4" s="130">
        <v>21.5</v>
      </c>
    </row>
    <row r="5" spans="2:9" x14ac:dyDescent="0.25">
      <c r="B5" s="34" t="s">
        <v>89</v>
      </c>
      <c r="C5" s="35"/>
      <c r="F5" s="27" t="s">
        <v>57</v>
      </c>
      <c r="G5" s="28" t="s">
        <v>60</v>
      </c>
      <c r="H5" s="130">
        <v>1800</v>
      </c>
    </row>
    <row r="6" spans="2:9" x14ac:dyDescent="0.25">
      <c r="B6" s="16" t="s">
        <v>77</v>
      </c>
      <c r="C6" s="21">
        <v>240</v>
      </c>
      <c r="F6" s="27" t="s">
        <v>63</v>
      </c>
      <c r="G6" s="28" t="s">
        <v>60</v>
      </c>
      <c r="H6" s="130">
        <v>3</v>
      </c>
    </row>
    <row r="7" spans="2:9" x14ac:dyDescent="0.25">
      <c r="B7" s="17" t="s">
        <v>78</v>
      </c>
      <c r="C7" s="22">
        <v>115</v>
      </c>
      <c r="F7" s="27" t="s">
        <v>67</v>
      </c>
      <c r="G7" s="28" t="s">
        <v>60</v>
      </c>
      <c r="H7" s="130">
        <f>H5/H6</f>
        <v>600</v>
      </c>
    </row>
    <row r="8" spans="2:9" x14ac:dyDescent="0.25">
      <c r="B8" s="18" t="s">
        <v>79</v>
      </c>
      <c r="C8" s="23">
        <v>180</v>
      </c>
      <c r="F8" s="27" t="s">
        <v>58</v>
      </c>
      <c r="G8" s="28" t="s">
        <v>61</v>
      </c>
      <c r="H8" s="130">
        <v>10</v>
      </c>
    </row>
    <row r="9" spans="2:9" x14ac:dyDescent="0.25">
      <c r="B9" s="34" t="s">
        <v>90</v>
      </c>
      <c r="C9" s="35"/>
      <c r="F9" s="27" t="s">
        <v>62</v>
      </c>
      <c r="G9" s="28" t="s">
        <v>64</v>
      </c>
      <c r="H9" s="130">
        <v>172</v>
      </c>
    </row>
    <row r="10" spans="2:9" x14ac:dyDescent="0.25">
      <c r="B10" s="16" t="s">
        <v>77</v>
      </c>
      <c r="C10" s="21">
        <v>200</v>
      </c>
      <c r="F10" s="27" t="s">
        <v>65</v>
      </c>
      <c r="G10" s="28" t="s">
        <v>66</v>
      </c>
      <c r="H10" s="130">
        <f>H8*H9</f>
        <v>1720</v>
      </c>
    </row>
    <row r="11" spans="2:9" x14ac:dyDescent="0.25">
      <c r="B11" s="17" t="s">
        <v>78</v>
      </c>
      <c r="C11" s="22">
        <v>60</v>
      </c>
      <c r="F11" s="27" t="s">
        <v>73</v>
      </c>
      <c r="G11" s="28" t="s">
        <v>121</v>
      </c>
      <c r="H11" s="130">
        <f>H12/H4</f>
        <v>0.13333333333333333</v>
      </c>
    </row>
    <row r="12" spans="2:9" ht="15.75" thickBot="1" x14ac:dyDescent="0.3">
      <c r="B12" s="17" t="s">
        <v>79</v>
      </c>
      <c r="C12" s="22">
        <v>140</v>
      </c>
      <c r="F12" s="29" t="s">
        <v>74</v>
      </c>
      <c r="G12" s="30" t="s">
        <v>68</v>
      </c>
      <c r="H12" s="129">
        <f>H10/H7</f>
        <v>2.8666666666666667</v>
      </c>
    </row>
    <row r="13" spans="2:9" ht="15.75" thickBot="1" x14ac:dyDescent="0.3">
      <c r="F13" s="86" t="s">
        <v>82</v>
      </c>
      <c r="G13" s="15"/>
      <c r="H13" s="131"/>
    </row>
    <row r="14" spans="2:9" x14ac:dyDescent="0.25">
      <c r="B14" s="32" t="s">
        <v>75</v>
      </c>
      <c r="C14" s="32" t="s">
        <v>76</v>
      </c>
      <c r="F14" s="24" t="s">
        <v>131</v>
      </c>
      <c r="G14" s="25" t="s">
        <v>59</v>
      </c>
      <c r="H14" s="132" t="s">
        <v>72</v>
      </c>
      <c r="I14" s="6"/>
    </row>
    <row r="15" spans="2:9" x14ac:dyDescent="0.25">
      <c r="B15" s="33" t="s">
        <v>80</v>
      </c>
      <c r="C15" s="33" t="s">
        <v>81</v>
      </c>
      <c r="F15" s="81" t="s">
        <v>38</v>
      </c>
      <c r="G15" s="3" t="s">
        <v>122</v>
      </c>
      <c r="H15" s="133">
        <v>30</v>
      </c>
      <c r="I15" s="6"/>
    </row>
    <row r="16" spans="2:9" x14ac:dyDescent="0.25">
      <c r="B16" s="34" t="s">
        <v>84</v>
      </c>
      <c r="C16" s="35"/>
      <c r="F16" s="81" t="s">
        <v>39</v>
      </c>
      <c r="G16" s="3" t="s">
        <v>122</v>
      </c>
      <c r="H16" s="133">
        <v>200</v>
      </c>
      <c r="I16" s="6"/>
    </row>
    <row r="17" spans="2:9" ht="15.75" thickBot="1" x14ac:dyDescent="0.3">
      <c r="B17" s="16" t="s">
        <v>77</v>
      </c>
      <c r="C17" s="21">
        <v>300</v>
      </c>
      <c r="F17" s="82" t="s">
        <v>34</v>
      </c>
      <c r="G17" s="74" t="s">
        <v>122</v>
      </c>
      <c r="H17" s="134">
        <v>400</v>
      </c>
      <c r="I17" s="6"/>
    </row>
    <row r="18" spans="2:9" x14ac:dyDescent="0.25">
      <c r="B18" s="17" t="s">
        <v>78</v>
      </c>
      <c r="C18" s="22">
        <v>200</v>
      </c>
      <c r="F18" s="87" t="s">
        <v>123</v>
      </c>
      <c r="G18" s="88" t="s">
        <v>127</v>
      </c>
      <c r="H18" s="135">
        <v>10</v>
      </c>
      <c r="I18" s="89" t="s">
        <v>126</v>
      </c>
    </row>
    <row r="19" spans="2:9" x14ac:dyDescent="0.25">
      <c r="B19" s="18" t="s">
        <v>79</v>
      </c>
      <c r="C19" s="23">
        <v>250</v>
      </c>
      <c r="F19" s="81" t="s">
        <v>124</v>
      </c>
      <c r="G19" s="3" t="s">
        <v>127</v>
      </c>
      <c r="H19" s="133">
        <v>4</v>
      </c>
      <c r="I19" s="115">
        <f>H18+H19+H20</f>
        <v>14.1</v>
      </c>
    </row>
    <row r="20" spans="2:9" ht="15.75" thickBot="1" x14ac:dyDescent="0.3">
      <c r="B20" s="34" t="s">
        <v>83</v>
      </c>
      <c r="C20" s="35"/>
      <c r="F20" s="82" t="s">
        <v>125</v>
      </c>
      <c r="G20" s="74" t="s">
        <v>127</v>
      </c>
      <c r="H20" s="134">
        <v>0.1</v>
      </c>
      <c r="I20" s="90"/>
    </row>
    <row r="21" spans="2:9" x14ac:dyDescent="0.25">
      <c r="B21" s="16" t="s">
        <v>77</v>
      </c>
      <c r="C21" s="21">
        <v>250</v>
      </c>
      <c r="F21" s="91" t="s">
        <v>128</v>
      </c>
      <c r="G21" s="73" t="s">
        <v>121</v>
      </c>
      <c r="H21" s="136">
        <f>H15*H18/1000</f>
        <v>0.3</v>
      </c>
      <c r="I21" s="113" t="s">
        <v>137</v>
      </c>
    </row>
    <row r="22" spans="2:9" x14ac:dyDescent="0.25">
      <c r="B22" s="17" t="s">
        <v>78</v>
      </c>
      <c r="C22" s="22">
        <v>160</v>
      </c>
      <c r="F22" s="81" t="s">
        <v>129</v>
      </c>
      <c r="G22" s="73" t="s">
        <v>121</v>
      </c>
      <c r="H22" s="136">
        <f t="shared" ref="H22:H23" si="0">H16*H19/1000</f>
        <v>0.8</v>
      </c>
      <c r="I22" s="114">
        <f>H21+H22+H23</f>
        <v>1.1400000000000001</v>
      </c>
    </row>
    <row r="23" spans="2:9" ht="15.75" thickBot="1" x14ac:dyDescent="0.3">
      <c r="B23" s="17" t="s">
        <v>79</v>
      </c>
      <c r="C23" s="22">
        <v>200</v>
      </c>
      <c r="F23" s="82" t="s">
        <v>130</v>
      </c>
      <c r="G23" s="92" t="s">
        <v>121</v>
      </c>
      <c r="H23" s="137">
        <f t="shared" si="0"/>
        <v>0.04</v>
      </c>
      <c r="I23" s="90"/>
    </row>
    <row r="24" spans="2:9" ht="15.75" thickBot="1" x14ac:dyDescent="0.3">
      <c r="F24" s="85" t="s">
        <v>82</v>
      </c>
      <c r="H24" s="77"/>
    </row>
    <row r="25" spans="2:9" x14ac:dyDescent="0.25">
      <c r="B25" s="32" t="s">
        <v>75</v>
      </c>
      <c r="C25" s="32" t="s">
        <v>76</v>
      </c>
      <c r="F25" s="24" t="s">
        <v>143</v>
      </c>
      <c r="G25" s="25" t="s">
        <v>59</v>
      </c>
      <c r="H25" s="132" t="s">
        <v>72</v>
      </c>
      <c r="I25" s="6"/>
    </row>
    <row r="26" spans="2:9" x14ac:dyDescent="0.25">
      <c r="B26" s="33" t="s">
        <v>80</v>
      </c>
      <c r="C26" s="33" t="s">
        <v>81</v>
      </c>
      <c r="F26" s="81" t="s">
        <v>38</v>
      </c>
      <c r="G26" s="3" t="s">
        <v>122</v>
      </c>
      <c r="H26" s="133">
        <v>30</v>
      </c>
      <c r="I26" s="6"/>
    </row>
    <row r="27" spans="2:9" x14ac:dyDescent="0.25">
      <c r="B27" s="34" t="s">
        <v>162</v>
      </c>
      <c r="C27" s="35"/>
      <c r="F27" s="81" t="s">
        <v>39</v>
      </c>
      <c r="G27" s="3" t="s">
        <v>122</v>
      </c>
      <c r="H27" s="133">
        <v>200</v>
      </c>
      <c r="I27" s="6"/>
    </row>
    <row r="28" spans="2:9" ht="15.75" thickBot="1" x14ac:dyDescent="0.3">
      <c r="B28" s="16" t="s">
        <v>77</v>
      </c>
      <c r="C28" s="21">
        <v>740</v>
      </c>
      <c r="F28" s="82" t="s">
        <v>34</v>
      </c>
      <c r="G28" s="74" t="s">
        <v>122</v>
      </c>
      <c r="H28" s="134">
        <v>400</v>
      </c>
      <c r="I28" s="6"/>
    </row>
    <row r="29" spans="2:9" x14ac:dyDescent="0.25">
      <c r="B29" s="17" t="s">
        <v>78</v>
      </c>
      <c r="C29" s="22">
        <v>550</v>
      </c>
      <c r="F29" s="87" t="s">
        <v>123</v>
      </c>
      <c r="G29" s="88" t="s">
        <v>127</v>
      </c>
      <c r="H29" s="135">
        <v>11</v>
      </c>
      <c r="I29" s="89" t="s">
        <v>126</v>
      </c>
    </row>
    <row r="30" spans="2:9" x14ac:dyDescent="0.25">
      <c r="B30" s="18" t="s">
        <v>79</v>
      </c>
      <c r="C30" s="23">
        <v>650</v>
      </c>
      <c r="F30" s="81" t="s">
        <v>124</v>
      </c>
      <c r="G30" s="3" t="s">
        <v>127</v>
      </c>
      <c r="H30" s="133">
        <v>3</v>
      </c>
      <c r="I30" s="115">
        <f>H29+H30+H31</f>
        <v>14.1</v>
      </c>
    </row>
    <row r="31" spans="2:9" ht="15.75" thickBot="1" x14ac:dyDescent="0.3">
      <c r="B31" s="34" t="s">
        <v>163</v>
      </c>
      <c r="C31" s="35"/>
      <c r="F31" s="82" t="s">
        <v>125</v>
      </c>
      <c r="G31" s="74" t="s">
        <v>127</v>
      </c>
      <c r="H31" s="134">
        <v>0.1</v>
      </c>
      <c r="I31" s="90"/>
    </row>
    <row r="32" spans="2:9" x14ac:dyDescent="0.25">
      <c r="B32" s="16" t="s">
        <v>77</v>
      </c>
      <c r="C32" s="21">
        <v>700</v>
      </c>
      <c r="F32" s="91" t="s">
        <v>128</v>
      </c>
      <c r="G32" s="73" t="s">
        <v>121</v>
      </c>
      <c r="H32" s="136">
        <f>H26*H29/1000</f>
        <v>0.33</v>
      </c>
      <c r="I32" s="113" t="s">
        <v>137</v>
      </c>
    </row>
    <row r="33" spans="2:9" x14ac:dyDescent="0.25">
      <c r="B33" s="17" t="s">
        <v>78</v>
      </c>
      <c r="C33" s="22">
        <v>500</v>
      </c>
      <c r="F33" s="81" t="s">
        <v>129</v>
      </c>
      <c r="G33" s="73" t="s">
        <v>121</v>
      </c>
      <c r="H33" s="136">
        <f t="shared" ref="H33:H34" si="1">H27*H30/1000</f>
        <v>0.6</v>
      </c>
      <c r="I33" s="115">
        <f>H32+H33+H34</f>
        <v>0.97</v>
      </c>
    </row>
    <row r="34" spans="2:9" ht="15.75" thickBot="1" x14ac:dyDescent="0.3">
      <c r="B34" s="17" t="s">
        <v>79</v>
      </c>
      <c r="C34" s="22">
        <v>600</v>
      </c>
      <c r="F34" s="82" t="s">
        <v>130</v>
      </c>
      <c r="G34" s="92" t="s">
        <v>121</v>
      </c>
      <c r="H34" s="137">
        <f t="shared" si="1"/>
        <v>0.04</v>
      </c>
      <c r="I34" s="90"/>
    </row>
    <row r="35" spans="2:9" ht="15.75" thickBot="1" x14ac:dyDescent="0.3">
      <c r="F35" s="85" t="s">
        <v>82</v>
      </c>
      <c r="H35" s="77"/>
    </row>
    <row r="36" spans="2:9" x14ac:dyDescent="0.25">
      <c r="F36" s="83" t="s">
        <v>117</v>
      </c>
      <c r="G36" s="84" t="s">
        <v>59</v>
      </c>
      <c r="H36" s="132" t="s">
        <v>72</v>
      </c>
    </row>
    <row r="37" spans="2:9" x14ac:dyDescent="0.25">
      <c r="F37" s="81" t="s">
        <v>112</v>
      </c>
      <c r="G37" s="3" t="s">
        <v>113</v>
      </c>
      <c r="H37" s="138">
        <v>6000</v>
      </c>
    </row>
    <row r="38" spans="2:9" x14ac:dyDescent="0.25">
      <c r="F38" s="81" t="s">
        <v>114</v>
      </c>
      <c r="G38" s="3" t="s">
        <v>60</v>
      </c>
      <c r="H38" s="138">
        <v>1800</v>
      </c>
    </row>
    <row r="39" spans="2:9" x14ac:dyDescent="0.25">
      <c r="F39" s="81" t="s">
        <v>115</v>
      </c>
      <c r="G39" s="3" t="s">
        <v>116</v>
      </c>
      <c r="H39" s="138">
        <v>15</v>
      </c>
    </row>
    <row r="40" spans="2:9" x14ac:dyDescent="0.25">
      <c r="F40" s="81" t="s">
        <v>118</v>
      </c>
      <c r="G40" s="3" t="s">
        <v>119</v>
      </c>
      <c r="H40" s="139">
        <f>H37/H38*H39</f>
        <v>50</v>
      </c>
    </row>
    <row r="41" spans="2:9" ht="15.75" thickBot="1" x14ac:dyDescent="0.3">
      <c r="F41" s="82" t="s">
        <v>120</v>
      </c>
      <c r="G41" s="74" t="s">
        <v>68</v>
      </c>
      <c r="H41" s="140">
        <f>H40/12</f>
        <v>4.166666666666667</v>
      </c>
    </row>
    <row r="42" spans="2:9" x14ac:dyDescent="0.25">
      <c r="F42" s="179" t="s">
        <v>158</v>
      </c>
    </row>
    <row r="43" spans="2:9" x14ac:dyDescent="0.25">
      <c r="F43" s="80"/>
      <c r="G43" s="80"/>
      <c r="H43" s="80"/>
    </row>
  </sheetData>
  <conditionalFormatting sqref="C6:C8 C10:C12 C17:C19 C21:C23 C28:C30 C32:C3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{9BB5F7BF-953E-4BD4-B24A-CDE8E3FFDAA3}</x14:id>
        </ext>
      </extLs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B5F7BF-953E-4BD4-B24A-CDE8E3FFDAA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C6:C8 C10:C12 C17:C19 C21:C23 C28:C30 C32:C34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5" zoomScaleNormal="100" workbookViewId="0">
      <selection activeCell="D5" sqref="D5"/>
    </sheetView>
  </sheetViews>
  <sheetFormatPr baseColWidth="10" defaultRowHeight="15" x14ac:dyDescent="0.25"/>
  <cols>
    <col min="2" max="2" width="34.28515625" customWidth="1"/>
    <col min="3" max="3" width="16.85546875" customWidth="1"/>
    <col min="4" max="9" width="10.7109375" customWidth="1"/>
  </cols>
  <sheetData>
    <row r="1" spans="1:9" x14ac:dyDescent="0.25">
      <c r="A1" s="15"/>
      <c r="B1" s="15"/>
      <c r="C1" s="15"/>
      <c r="D1" s="15"/>
      <c r="E1" s="15"/>
      <c r="F1" s="15"/>
    </row>
    <row r="2" spans="1:9" ht="20.25" x14ac:dyDescent="0.25">
      <c r="A2" s="15"/>
      <c r="B2" s="201" t="s">
        <v>101</v>
      </c>
      <c r="C2" s="202"/>
      <c r="D2" s="202"/>
      <c r="E2" s="202"/>
      <c r="F2" s="202"/>
      <c r="G2" s="200"/>
      <c r="H2" s="200"/>
      <c r="I2" s="200"/>
    </row>
    <row r="3" spans="1:9" x14ac:dyDescent="0.25">
      <c r="A3" s="15"/>
      <c r="B3" s="202"/>
      <c r="C3" s="202"/>
      <c r="D3" s="202"/>
      <c r="E3" s="202"/>
      <c r="F3" s="202"/>
      <c r="G3" s="200"/>
      <c r="H3" s="200"/>
      <c r="I3" s="200"/>
    </row>
    <row r="4" spans="1:9" x14ac:dyDescent="0.25">
      <c r="A4" s="15"/>
      <c r="B4" s="78" t="s">
        <v>56</v>
      </c>
      <c r="C4" s="146" t="s">
        <v>59</v>
      </c>
      <c r="D4" s="79" t="s">
        <v>107</v>
      </c>
      <c r="E4" s="79" t="s">
        <v>108</v>
      </c>
      <c r="F4" s="52" t="s">
        <v>138</v>
      </c>
      <c r="G4" s="145" t="s">
        <v>139</v>
      </c>
      <c r="H4" s="145" t="s">
        <v>140</v>
      </c>
      <c r="I4" s="145" t="s">
        <v>141</v>
      </c>
    </row>
    <row r="5" spans="1:9" x14ac:dyDescent="0.25">
      <c r="A5" s="15"/>
      <c r="B5" s="23" t="s">
        <v>94</v>
      </c>
      <c r="C5" s="54" t="s">
        <v>95</v>
      </c>
      <c r="D5" s="61">
        <v>17</v>
      </c>
      <c r="E5" s="61">
        <v>20</v>
      </c>
      <c r="F5" s="17">
        <f>Mastdauer!D7</f>
        <v>18</v>
      </c>
      <c r="G5" s="3">
        <f>Mastdauer!D8</f>
        <v>21</v>
      </c>
      <c r="H5" s="3">
        <f>Mastdauer!D9</f>
        <v>17</v>
      </c>
      <c r="I5" s="3">
        <f>Mastdauer!D10</f>
        <v>20</v>
      </c>
    </row>
    <row r="6" spans="1:9" ht="15.75" thickBot="1" x14ac:dyDescent="0.3">
      <c r="A6" s="15"/>
      <c r="B6" s="19"/>
      <c r="C6" s="147" t="s">
        <v>93</v>
      </c>
      <c r="D6" s="76">
        <f>D5*30.417</f>
        <v>517.08900000000006</v>
      </c>
      <c r="E6" s="76">
        <f>E5*30.417</f>
        <v>608.34</v>
      </c>
      <c r="F6" s="76">
        <f t="shared" ref="F6:I6" si="0">F5*30.417</f>
        <v>547.50600000000009</v>
      </c>
      <c r="G6" s="76">
        <f t="shared" si="0"/>
        <v>638.75700000000006</v>
      </c>
      <c r="H6" s="76">
        <f t="shared" si="0"/>
        <v>517.08900000000006</v>
      </c>
      <c r="I6" s="76">
        <f t="shared" si="0"/>
        <v>608.34</v>
      </c>
    </row>
    <row r="7" spans="1:9" ht="15.75" thickBot="1" x14ac:dyDescent="0.3">
      <c r="A7" s="15"/>
      <c r="B7" s="121" t="s">
        <v>35</v>
      </c>
      <c r="C7" s="71" t="s">
        <v>51</v>
      </c>
      <c r="D7" s="62">
        <f>Kosten!C8</f>
        <v>180</v>
      </c>
      <c r="E7" s="62">
        <f>Kosten!C12</f>
        <v>140</v>
      </c>
      <c r="F7" s="42">
        <f>Kosten!C7</f>
        <v>115</v>
      </c>
      <c r="G7" s="148">
        <f>Kosten!C11</f>
        <v>60</v>
      </c>
      <c r="H7" s="148">
        <f>Kosten!C6</f>
        <v>240</v>
      </c>
      <c r="I7" s="149">
        <f>Kosten!C10</f>
        <v>200</v>
      </c>
    </row>
    <row r="8" spans="1:9" x14ac:dyDescent="0.25">
      <c r="A8" s="15"/>
      <c r="B8" s="21" t="s">
        <v>36</v>
      </c>
      <c r="C8" s="1" t="s">
        <v>51</v>
      </c>
      <c r="D8" s="63">
        <v>25</v>
      </c>
      <c r="E8" s="63">
        <v>25</v>
      </c>
      <c r="F8" s="63">
        <v>25</v>
      </c>
      <c r="G8" s="63">
        <v>25</v>
      </c>
      <c r="H8" s="63">
        <v>25</v>
      </c>
      <c r="I8" s="63">
        <v>25</v>
      </c>
    </row>
    <row r="9" spans="1:9" x14ac:dyDescent="0.25">
      <c r="A9" s="15"/>
      <c r="B9" s="22" t="s">
        <v>37</v>
      </c>
      <c r="C9" s="2" t="s">
        <v>51</v>
      </c>
      <c r="D9" s="61">
        <v>25</v>
      </c>
      <c r="E9" s="61">
        <v>25</v>
      </c>
      <c r="F9" s="61">
        <v>25</v>
      </c>
      <c r="G9" s="61">
        <v>25</v>
      </c>
      <c r="H9" s="61">
        <v>25</v>
      </c>
      <c r="I9" s="61">
        <v>25</v>
      </c>
    </row>
    <row r="10" spans="1:9" x14ac:dyDescent="0.25">
      <c r="A10" s="15"/>
      <c r="B10" s="22" t="s">
        <v>52</v>
      </c>
      <c r="C10" s="2" t="s">
        <v>51</v>
      </c>
      <c r="D10" s="61">
        <f>17.5/12*D5</f>
        <v>24.791666666666664</v>
      </c>
      <c r="E10" s="61">
        <f>17.5/12*E5</f>
        <v>29.166666666666664</v>
      </c>
      <c r="F10" s="61">
        <f t="shared" ref="F10:I10" si="1">17.5/12*F5</f>
        <v>26.25</v>
      </c>
      <c r="G10" s="61">
        <f t="shared" si="1"/>
        <v>30.625</v>
      </c>
      <c r="H10" s="61">
        <f t="shared" si="1"/>
        <v>24.791666666666664</v>
      </c>
      <c r="I10" s="61">
        <f t="shared" si="1"/>
        <v>29.166666666666664</v>
      </c>
    </row>
    <row r="11" spans="1:9" x14ac:dyDescent="0.25">
      <c r="A11" s="15"/>
      <c r="B11" s="22" t="s">
        <v>38</v>
      </c>
      <c r="C11" s="2" t="s">
        <v>51</v>
      </c>
      <c r="D11" s="61">
        <f>D6*D37</f>
        <v>155.1267</v>
      </c>
      <c r="E11" s="61">
        <f>E6*E37</f>
        <v>200.75220000000002</v>
      </c>
      <c r="F11" s="61">
        <f>F6*D37</f>
        <v>164.25180000000003</v>
      </c>
      <c r="G11" s="61">
        <f>G6*E37</f>
        <v>210.78981000000002</v>
      </c>
      <c r="H11" s="61">
        <f>H6*D37</f>
        <v>155.1267</v>
      </c>
      <c r="I11" s="61">
        <f>I6*E37</f>
        <v>200.75220000000002</v>
      </c>
    </row>
    <row r="12" spans="1:9" x14ac:dyDescent="0.25">
      <c r="A12" s="15"/>
      <c r="B12" s="22" t="s">
        <v>39</v>
      </c>
      <c r="C12" s="2" t="s">
        <v>51</v>
      </c>
      <c r="D12" s="61">
        <f>D38*D6</f>
        <v>413.67120000000006</v>
      </c>
      <c r="E12" s="61">
        <f>E6*E38</f>
        <v>365.00400000000002</v>
      </c>
      <c r="F12" s="61">
        <f>D38*F6</f>
        <v>438.0048000000001</v>
      </c>
      <c r="G12" s="61">
        <f>E38*G6</f>
        <v>383.25420000000003</v>
      </c>
      <c r="H12" s="127">
        <f>D38*H6</f>
        <v>413.67120000000006</v>
      </c>
      <c r="I12" s="127">
        <f>E38*I6</f>
        <v>365.00400000000002</v>
      </c>
    </row>
    <row r="13" spans="1:9" x14ac:dyDescent="0.25">
      <c r="A13" s="15"/>
      <c r="B13" s="22" t="s">
        <v>41</v>
      </c>
      <c r="C13" s="2" t="s">
        <v>51</v>
      </c>
      <c r="D13" s="61">
        <f>D39*D6</f>
        <v>20.683560000000003</v>
      </c>
      <c r="E13" s="61">
        <f>E39*E6</f>
        <v>24.333600000000001</v>
      </c>
      <c r="F13" s="61">
        <f>D39*F6</f>
        <v>21.900240000000004</v>
      </c>
      <c r="G13" s="61">
        <f>E39*G6</f>
        <v>25.550280000000004</v>
      </c>
      <c r="H13" s="128">
        <f>D39*H6</f>
        <v>20.683560000000003</v>
      </c>
      <c r="I13" s="128">
        <f>E39*I6</f>
        <v>24.333600000000001</v>
      </c>
    </row>
    <row r="14" spans="1:9" x14ac:dyDescent="0.25">
      <c r="A14" s="15"/>
      <c r="B14" s="22" t="s">
        <v>40</v>
      </c>
      <c r="C14" s="2" t="s">
        <v>51</v>
      </c>
      <c r="D14" s="61">
        <v>85</v>
      </c>
      <c r="E14" s="61">
        <v>85</v>
      </c>
      <c r="F14" s="61">
        <v>85</v>
      </c>
      <c r="G14" s="61">
        <v>85</v>
      </c>
      <c r="H14" s="61">
        <v>85</v>
      </c>
      <c r="I14" s="61">
        <v>85</v>
      </c>
    </row>
    <row r="15" spans="1:9" x14ac:dyDescent="0.25">
      <c r="A15" s="15"/>
      <c r="B15" s="22" t="s">
        <v>111</v>
      </c>
      <c r="C15" s="2" t="s">
        <v>51</v>
      </c>
      <c r="D15" s="61">
        <f>D5*Kosten!H41</f>
        <v>70.833333333333343</v>
      </c>
      <c r="E15" s="61">
        <f>E5*Kosten!H41</f>
        <v>83.333333333333343</v>
      </c>
      <c r="F15" s="61">
        <f>F5*Kosten!H41</f>
        <v>75</v>
      </c>
      <c r="G15" s="61">
        <f>G5*Kosten!H41</f>
        <v>87.5</v>
      </c>
      <c r="H15" s="61">
        <f>H5*Kosten!H41</f>
        <v>70.833333333333343</v>
      </c>
      <c r="I15" s="61">
        <f>I5*Kosten!H41</f>
        <v>83.333333333333343</v>
      </c>
    </row>
    <row r="16" spans="1:9" x14ac:dyDescent="0.25">
      <c r="A16" s="15"/>
      <c r="B16" s="22" t="s">
        <v>53</v>
      </c>
      <c r="C16" s="2" t="s">
        <v>51</v>
      </c>
      <c r="D16" s="61">
        <v>40</v>
      </c>
      <c r="E16" s="61">
        <v>40</v>
      </c>
      <c r="F16" s="61">
        <v>40</v>
      </c>
      <c r="G16" s="61">
        <v>40</v>
      </c>
      <c r="H16" s="61">
        <v>40</v>
      </c>
      <c r="I16" s="61">
        <v>40</v>
      </c>
    </row>
    <row r="17" spans="1:9" ht="15.75" thickBot="1" x14ac:dyDescent="0.3">
      <c r="A17" s="15"/>
      <c r="B17" s="23" t="s">
        <v>156</v>
      </c>
      <c r="C17" s="169" t="s">
        <v>51</v>
      </c>
      <c r="D17" s="98">
        <f t="shared" ref="D17:I17" si="2">(D7*D6+SUM(D8:D16)*D6/2)*$E42/365</f>
        <v>25.927546409381101</v>
      </c>
      <c r="E17" s="98">
        <f t="shared" si="2"/>
        <v>28.940062147890416</v>
      </c>
      <c r="F17" s="98">
        <f t="shared" si="2"/>
        <v>25.434432630453703</v>
      </c>
      <c r="G17" s="98">
        <f t="shared" si="2"/>
        <v>27.109178446131374</v>
      </c>
      <c r="H17" s="98">
        <f t="shared" si="2"/>
        <v>28.477574354586583</v>
      </c>
      <c r="I17" s="98">
        <f t="shared" si="2"/>
        <v>31.940095024602741</v>
      </c>
    </row>
    <row r="18" spans="1:9" ht="15.75" thickBot="1" x14ac:dyDescent="0.3">
      <c r="A18" s="15"/>
      <c r="B18" s="121" t="s">
        <v>42</v>
      </c>
      <c r="C18" s="71" t="s">
        <v>51</v>
      </c>
      <c r="D18" s="62">
        <f t="shared" ref="D18:I18" si="3">SUM(D7:D16)</f>
        <v>1040.1064600000002</v>
      </c>
      <c r="E18" s="62">
        <f t="shared" si="3"/>
        <v>1017.5898000000001</v>
      </c>
      <c r="F18" s="62">
        <f t="shared" si="3"/>
        <v>1015.4068400000002</v>
      </c>
      <c r="G18" s="62">
        <f t="shared" si="3"/>
        <v>972.71929000000011</v>
      </c>
      <c r="H18" s="62">
        <f t="shared" si="3"/>
        <v>1100.1064600000002</v>
      </c>
      <c r="I18" s="144">
        <f t="shared" si="3"/>
        <v>1077.5898000000002</v>
      </c>
    </row>
    <row r="19" spans="1:9" ht="15.75" thickBot="1" x14ac:dyDescent="0.3">
      <c r="A19" s="15"/>
      <c r="B19" s="121" t="s">
        <v>105</v>
      </c>
      <c r="C19" s="71" t="s">
        <v>51</v>
      </c>
      <c r="D19" s="62">
        <f>Einnahmen!C6-D18</f>
        <v>692.55593447999991</v>
      </c>
      <c r="E19" s="62">
        <f>Einnahmen!C10-E18</f>
        <v>426.1520049999998</v>
      </c>
      <c r="F19" s="62">
        <f>Schlachterlöse!H7-F18</f>
        <v>369.33392179999976</v>
      </c>
      <c r="G19" s="62">
        <f>Schlachterlöse!H8-G18</f>
        <v>384.82075699999984</v>
      </c>
      <c r="H19" s="62">
        <f>Schlachterlöse!H9-H18</f>
        <v>632.55593447999991</v>
      </c>
      <c r="I19" s="144">
        <f>Schlachterlöse!H10-I18</f>
        <v>366.15200499999969</v>
      </c>
    </row>
    <row r="20" spans="1:9" x14ac:dyDescent="0.25">
      <c r="A20" s="15"/>
      <c r="B20" s="19"/>
      <c r="C20" s="10"/>
      <c r="D20" s="98"/>
      <c r="E20" s="119"/>
      <c r="F20" s="19"/>
      <c r="G20" s="124"/>
      <c r="H20" s="124"/>
      <c r="I20" s="124"/>
    </row>
    <row r="21" spans="1:9" x14ac:dyDescent="0.25">
      <c r="A21" s="15"/>
      <c r="B21" s="55" t="s">
        <v>43</v>
      </c>
      <c r="C21" s="5"/>
      <c r="D21" s="20"/>
      <c r="E21" s="20"/>
      <c r="F21" s="20"/>
      <c r="G21" s="125"/>
      <c r="H21" s="125"/>
      <c r="I21" s="126"/>
    </row>
    <row r="22" spans="1:9" x14ac:dyDescent="0.25">
      <c r="A22" s="15"/>
      <c r="B22" s="21" t="s">
        <v>44</v>
      </c>
      <c r="C22" s="1" t="s">
        <v>51</v>
      </c>
      <c r="D22" s="63">
        <f t="shared" ref="D22:I22" si="4">19.31/12*D5</f>
        <v>27.355833333333333</v>
      </c>
      <c r="E22" s="63">
        <f t="shared" si="4"/>
        <v>32.18333333333333</v>
      </c>
      <c r="F22" s="63">
        <f t="shared" si="4"/>
        <v>28.965</v>
      </c>
      <c r="G22" s="63">
        <f t="shared" si="4"/>
        <v>33.792499999999997</v>
      </c>
      <c r="H22" s="63">
        <f t="shared" si="4"/>
        <v>27.355833333333333</v>
      </c>
      <c r="I22" s="63">
        <f t="shared" si="4"/>
        <v>32.18333333333333</v>
      </c>
    </row>
    <row r="23" spans="1:9" ht="15.75" thickBot="1" x14ac:dyDescent="0.3">
      <c r="A23" s="15"/>
      <c r="B23" s="23" t="s">
        <v>45</v>
      </c>
      <c r="C23" s="10" t="s">
        <v>51</v>
      </c>
      <c r="D23" s="76">
        <f>Kosten!H12*D5</f>
        <v>48.733333333333334</v>
      </c>
      <c r="E23" s="76">
        <f>Kosten!H12*E5</f>
        <v>57.333333333333336</v>
      </c>
      <c r="F23" s="76">
        <f>F5*Kosten!H12</f>
        <v>51.6</v>
      </c>
      <c r="G23" s="142">
        <f>G5*Kosten!H12</f>
        <v>60.2</v>
      </c>
      <c r="H23" s="142">
        <f>H5*Kosten!H12</f>
        <v>48.733333333333334</v>
      </c>
      <c r="I23" s="142">
        <f>I5*Kosten!H12</f>
        <v>57.333333333333336</v>
      </c>
    </row>
    <row r="24" spans="1:9" ht="15.75" thickBot="1" x14ac:dyDescent="0.3">
      <c r="A24" s="15"/>
      <c r="B24" s="121" t="s">
        <v>46</v>
      </c>
      <c r="C24" s="71" t="s">
        <v>51</v>
      </c>
      <c r="D24" s="62">
        <f>SUM(D22:D23)</f>
        <v>76.089166666666671</v>
      </c>
      <c r="E24" s="62">
        <f t="shared" ref="E24:I24" si="5">SUM(E22:E23)</f>
        <v>89.516666666666666</v>
      </c>
      <c r="F24" s="62">
        <f t="shared" si="5"/>
        <v>80.564999999999998</v>
      </c>
      <c r="G24" s="62">
        <f t="shared" si="5"/>
        <v>93.992500000000007</v>
      </c>
      <c r="H24" s="62">
        <f t="shared" si="5"/>
        <v>76.089166666666671</v>
      </c>
      <c r="I24" s="144">
        <f t="shared" si="5"/>
        <v>89.516666666666666</v>
      </c>
    </row>
    <row r="25" spans="1:9" x14ac:dyDescent="0.25">
      <c r="A25" s="15"/>
      <c r="B25" s="19"/>
      <c r="C25" s="10"/>
      <c r="D25" s="143"/>
      <c r="E25" s="143"/>
      <c r="F25" s="19"/>
      <c r="G25" s="124"/>
      <c r="H25" s="124"/>
      <c r="I25" s="124"/>
    </row>
    <row r="26" spans="1:9" x14ac:dyDescent="0.25">
      <c r="A26" s="15"/>
      <c r="B26" s="55" t="s">
        <v>48</v>
      </c>
      <c r="C26" s="5"/>
      <c r="D26" s="171"/>
      <c r="E26" s="171"/>
      <c r="F26" s="171"/>
      <c r="G26" s="173"/>
      <c r="H26" s="173"/>
      <c r="I26" s="174"/>
    </row>
    <row r="27" spans="1:9" x14ac:dyDescent="0.25">
      <c r="A27" s="15"/>
      <c r="B27" s="21" t="s">
        <v>47</v>
      </c>
      <c r="C27" s="1" t="s">
        <v>51</v>
      </c>
      <c r="D27" s="63">
        <v>30</v>
      </c>
      <c r="E27" s="63">
        <v>30</v>
      </c>
      <c r="F27" s="63">
        <v>30</v>
      </c>
      <c r="G27" s="63">
        <v>30</v>
      </c>
      <c r="H27" s="63">
        <v>30</v>
      </c>
      <c r="I27" s="63">
        <v>30</v>
      </c>
    </row>
    <row r="28" spans="1:9" s="70" customFormat="1" x14ac:dyDescent="0.25">
      <c r="A28" s="69"/>
      <c r="B28" s="122" t="s">
        <v>102</v>
      </c>
      <c r="C28" s="4" t="s">
        <v>51</v>
      </c>
      <c r="D28" s="76">
        <f t="shared" ref="D28:I28" si="6">1.6/12*D5</f>
        <v>2.2666666666666666</v>
      </c>
      <c r="E28" s="76">
        <f t="shared" si="6"/>
        <v>2.6666666666666665</v>
      </c>
      <c r="F28" s="76">
        <f t="shared" si="6"/>
        <v>2.4</v>
      </c>
      <c r="G28" s="76">
        <f t="shared" si="6"/>
        <v>2.8</v>
      </c>
      <c r="H28" s="76">
        <f t="shared" si="6"/>
        <v>2.2666666666666666</v>
      </c>
      <c r="I28" s="76">
        <f t="shared" si="6"/>
        <v>2.6666666666666665</v>
      </c>
    </row>
    <row r="29" spans="1:9" s="70" customFormat="1" ht="15.75" thickBot="1" x14ac:dyDescent="0.3">
      <c r="A29" s="69"/>
      <c r="B29" s="123" t="s">
        <v>109</v>
      </c>
      <c r="C29" s="4" t="s">
        <v>51</v>
      </c>
      <c r="D29" s="76">
        <f t="shared" ref="D29:I29" si="7">(D18+D24+D27+D28+$E$41)/2*$E$40</f>
        <v>29.761557333333339</v>
      </c>
      <c r="E29" s="76">
        <f t="shared" si="7"/>
        <v>29.54432833333334</v>
      </c>
      <c r="F29" s="76">
        <f t="shared" si="7"/>
        <v>29.259296000000006</v>
      </c>
      <c r="G29" s="76">
        <f t="shared" si="7"/>
        <v>28.537794750000003</v>
      </c>
      <c r="H29" s="76">
        <f t="shared" si="7"/>
        <v>31.261557333333339</v>
      </c>
      <c r="I29" s="76">
        <f t="shared" si="7"/>
        <v>31.04432833333334</v>
      </c>
    </row>
    <row r="30" spans="1:9" ht="15.75" thickBot="1" x14ac:dyDescent="0.3">
      <c r="A30" s="15"/>
      <c r="B30" s="121" t="s">
        <v>49</v>
      </c>
      <c r="C30" s="71" t="s">
        <v>51</v>
      </c>
      <c r="D30" s="62">
        <f t="shared" ref="D30:I30" si="8">SUM(D24+D27+D28+D18+D29)</f>
        <v>1178.2238506666667</v>
      </c>
      <c r="E30" s="62">
        <f t="shared" si="8"/>
        <v>1169.3174616666668</v>
      </c>
      <c r="F30" s="62">
        <f t="shared" si="8"/>
        <v>1157.6311360000002</v>
      </c>
      <c r="G30" s="62">
        <f t="shared" si="8"/>
        <v>1128.0495847500001</v>
      </c>
      <c r="H30" s="62">
        <f t="shared" si="8"/>
        <v>1239.7238506666667</v>
      </c>
      <c r="I30" s="144">
        <f t="shared" si="8"/>
        <v>1230.817461666667</v>
      </c>
    </row>
    <row r="31" spans="1:9" ht="15.75" thickBot="1" x14ac:dyDescent="0.3">
      <c r="A31" s="15"/>
      <c r="B31" s="141"/>
      <c r="C31" s="120"/>
      <c r="D31" s="172"/>
      <c r="E31" s="172"/>
      <c r="F31" s="172"/>
      <c r="G31" s="151"/>
      <c r="H31" s="151"/>
      <c r="I31" s="175"/>
    </row>
    <row r="32" spans="1:9" ht="15.75" thickBot="1" x14ac:dyDescent="0.3">
      <c r="A32" s="15"/>
      <c r="B32" s="121" t="s">
        <v>50</v>
      </c>
      <c r="C32" s="71" t="s">
        <v>51</v>
      </c>
      <c r="D32" s="62">
        <f>Einnahmen!C6-D30</f>
        <v>554.43854381333335</v>
      </c>
      <c r="E32" s="62">
        <f>Einnahmen!C12-E30</f>
        <v>238.50184633333311</v>
      </c>
      <c r="F32" s="62">
        <f>Einnahmen!C7-F30</f>
        <v>227.10962579999978</v>
      </c>
      <c r="G32" s="62">
        <f>Einnahmen!C11-G30</f>
        <v>229.49046224999984</v>
      </c>
      <c r="H32" s="62">
        <f>-H30+Einnahmen!C6</f>
        <v>492.93854381333335</v>
      </c>
      <c r="I32" s="144">
        <f>Einnahmen!C10-I30</f>
        <v>212.9243433333329</v>
      </c>
    </row>
    <row r="33" spans="1:9" ht="15.75" thickBot="1" x14ac:dyDescent="0.3">
      <c r="A33" s="15"/>
      <c r="B33" s="177"/>
      <c r="C33" s="178" t="s">
        <v>157</v>
      </c>
      <c r="D33" s="176">
        <f t="shared" ref="D33:I33" si="9">D32/D5*12</f>
        <v>391.3683838682353</v>
      </c>
      <c r="E33" s="176">
        <f t="shared" si="9"/>
        <v>143.10110779999985</v>
      </c>
      <c r="F33" s="176">
        <f t="shared" si="9"/>
        <v>151.40641719999985</v>
      </c>
      <c r="G33" s="176">
        <f t="shared" si="9"/>
        <v>131.13740699999991</v>
      </c>
      <c r="H33" s="176">
        <f t="shared" si="9"/>
        <v>347.95661916235292</v>
      </c>
      <c r="I33" s="176">
        <f t="shared" si="9"/>
        <v>127.75460599999974</v>
      </c>
    </row>
    <row r="34" spans="1:9" x14ac:dyDescent="0.25">
      <c r="A34" s="15"/>
      <c r="F34" s="15"/>
    </row>
    <row r="35" spans="1:9" x14ac:dyDescent="0.25">
      <c r="A35" s="15"/>
      <c r="F35" s="15"/>
    </row>
    <row r="36" spans="1:9" x14ac:dyDescent="0.25">
      <c r="A36" s="15"/>
      <c r="B36" s="55" t="s">
        <v>103</v>
      </c>
      <c r="C36" s="68"/>
      <c r="D36" s="52" t="s">
        <v>97</v>
      </c>
      <c r="E36" s="52" t="s">
        <v>98</v>
      </c>
      <c r="F36" s="15"/>
    </row>
    <row r="37" spans="1:9" x14ac:dyDescent="0.25">
      <c r="A37" s="15"/>
      <c r="B37" s="19"/>
      <c r="C37" s="65" t="s">
        <v>38</v>
      </c>
      <c r="D37" s="58">
        <f>Kosten!H21</f>
        <v>0.3</v>
      </c>
      <c r="E37" s="66">
        <f>Kosten!H32</f>
        <v>0.33</v>
      </c>
      <c r="F37" s="15"/>
    </row>
    <row r="38" spans="1:9" x14ac:dyDescent="0.25">
      <c r="A38" s="15"/>
      <c r="B38" s="19"/>
      <c r="C38" s="56" t="s">
        <v>39</v>
      </c>
      <c r="D38" s="58">
        <f>Kosten!H22</f>
        <v>0.8</v>
      </c>
      <c r="E38" s="66">
        <f>Kosten!H33</f>
        <v>0.6</v>
      </c>
      <c r="F38" s="15"/>
    </row>
    <row r="39" spans="1:9" x14ac:dyDescent="0.25">
      <c r="A39" s="15"/>
      <c r="B39" s="21"/>
      <c r="C39" s="56" t="s">
        <v>34</v>
      </c>
      <c r="D39" s="58">
        <f>Kosten!H23</f>
        <v>0.04</v>
      </c>
      <c r="E39" s="66">
        <f>Kosten!H34</f>
        <v>0.04</v>
      </c>
      <c r="F39" s="15"/>
    </row>
    <row r="40" spans="1:9" x14ac:dyDescent="0.25">
      <c r="A40" s="15"/>
      <c r="B40" s="155" t="s">
        <v>110</v>
      </c>
      <c r="C40" s="75"/>
      <c r="D40" s="75"/>
      <c r="E40" s="167">
        <v>0.05</v>
      </c>
      <c r="F40" s="15"/>
    </row>
    <row r="41" spans="1:9" x14ac:dyDescent="0.25">
      <c r="A41" s="15"/>
      <c r="B41" s="155" t="s">
        <v>144</v>
      </c>
      <c r="C41" s="75"/>
      <c r="D41" s="75"/>
      <c r="E41" s="156">
        <f>18+48/2</f>
        <v>42</v>
      </c>
      <c r="F41" s="15"/>
    </row>
    <row r="42" spans="1:9" x14ac:dyDescent="0.25">
      <c r="A42" s="15"/>
      <c r="B42" s="155" t="s">
        <v>156</v>
      </c>
      <c r="C42" s="75"/>
      <c r="D42" s="75"/>
      <c r="E42" s="168">
        <v>0.03</v>
      </c>
      <c r="F42" s="15"/>
    </row>
    <row r="43" spans="1:9" x14ac:dyDescent="0.25">
      <c r="A43" s="15"/>
      <c r="E43" s="15"/>
      <c r="F43" s="15"/>
    </row>
    <row r="44" spans="1:9" x14ac:dyDescent="0.25">
      <c r="A44" s="15"/>
      <c r="E44" s="15"/>
      <c r="F44" s="15"/>
    </row>
    <row r="45" spans="1:9" x14ac:dyDescent="0.25">
      <c r="A45" s="15"/>
      <c r="E45" s="15"/>
      <c r="F45" s="15"/>
    </row>
    <row r="46" spans="1:9" x14ac:dyDescent="0.25">
      <c r="A46" s="15"/>
      <c r="E46" s="15"/>
      <c r="F46" s="15"/>
    </row>
    <row r="47" spans="1:9" x14ac:dyDescent="0.25">
      <c r="A47" s="15"/>
      <c r="E47" s="15"/>
      <c r="F47" s="15"/>
    </row>
    <row r="48" spans="1:9" x14ac:dyDescent="0.25">
      <c r="A48" s="15"/>
      <c r="E48" s="15"/>
      <c r="F48" s="15"/>
    </row>
    <row r="49" spans="1:6" x14ac:dyDescent="0.25">
      <c r="A49" s="15"/>
      <c r="E49" s="15"/>
      <c r="F49" s="15"/>
    </row>
    <row r="50" spans="1:6" x14ac:dyDescent="0.25">
      <c r="A50" s="15"/>
      <c r="E50" s="15"/>
      <c r="F50" s="15"/>
    </row>
    <row r="51" spans="1:6" x14ac:dyDescent="0.25">
      <c r="A51" s="15"/>
      <c r="E51" s="15"/>
      <c r="F51" s="15"/>
    </row>
    <row r="52" spans="1:6" x14ac:dyDescent="0.25">
      <c r="A52" s="15"/>
      <c r="E52" s="31"/>
      <c r="F52" s="15"/>
    </row>
    <row r="53" spans="1:6" x14ac:dyDescent="0.25">
      <c r="A53" s="15"/>
      <c r="E53" s="15"/>
      <c r="F53" s="15"/>
    </row>
    <row r="54" spans="1:6" x14ac:dyDescent="0.25">
      <c r="A54" s="15"/>
      <c r="E54" s="15"/>
      <c r="F54" s="15"/>
    </row>
    <row r="55" spans="1:6" x14ac:dyDescent="0.25">
      <c r="A55" s="15"/>
      <c r="E55" s="15"/>
      <c r="F55" s="15"/>
    </row>
    <row r="56" spans="1:6" x14ac:dyDescent="0.25">
      <c r="A56" s="15"/>
      <c r="E56" s="15"/>
      <c r="F56" s="15"/>
    </row>
    <row r="57" spans="1:6" x14ac:dyDescent="0.25">
      <c r="A57" s="15"/>
      <c r="E57" s="15"/>
      <c r="F57" s="15"/>
    </row>
    <row r="58" spans="1:6" x14ac:dyDescent="0.25">
      <c r="A58" s="15"/>
      <c r="E58" s="15"/>
      <c r="F58" s="15"/>
    </row>
    <row r="59" spans="1:6" x14ac:dyDescent="0.25">
      <c r="A59" s="15"/>
      <c r="E59" s="15"/>
      <c r="F59" s="15"/>
    </row>
    <row r="60" spans="1:6" x14ac:dyDescent="0.25">
      <c r="A60" s="15"/>
      <c r="D60" s="15"/>
      <c r="E60" s="15"/>
      <c r="F60" s="15"/>
    </row>
    <row r="61" spans="1:6" x14ac:dyDescent="0.25">
      <c r="A61" s="15"/>
      <c r="D61" s="15"/>
      <c r="E61" s="15"/>
      <c r="F61" s="15"/>
    </row>
    <row r="62" spans="1:6" x14ac:dyDescent="0.25">
      <c r="A62" s="15"/>
      <c r="D62" s="15"/>
      <c r="E62" s="15"/>
      <c r="F62" s="15"/>
    </row>
    <row r="63" spans="1:6" x14ac:dyDescent="0.25">
      <c r="A63" s="15"/>
      <c r="D63" s="15"/>
      <c r="E63" s="15"/>
      <c r="F63" s="15"/>
    </row>
    <row r="64" spans="1:6" x14ac:dyDescent="0.25">
      <c r="A64" s="15"/>
      <c r="D64" s="15"/>
      <c r="E64" s="15"/>
      <c r="F64" s="15"/>
    </row>
    <row r="65" spans="1:6" x14ac:dyDescent="0.25">
      <c r="A65" s="15"/>
      <c r="D65" s="15"/>
      <c r="E65" s="15"/>
      <c r="F65" s="15"/>
    </row>
    <row r="66" spans="1:6" x14ac:dyDescent="0.25">
      <c r="A66" s="15"/>
      <c r="D66" s="15"/>
      <c r="E66" s="15"/>
      <c r="F66" s="15"/>
    </row>
    <row r="67" spans="1:6" x14ac:dyDescent="0.25">
      <c r="A67" s="15"/>
      <c r="D67" s="15"/>
      <c r="E67" s="15"/>
      <c r="F67" s="15"/>
    </row>
    <row r="68" spans="1:6" x14ac:dyDescent="0.25">
      <c r="A68" s="15"/>
      <c r="D68" s="15"/>
      <c r="E68" s="15"/>
      <c r="F68" s="15"/>
    </row>
    <row r="69" spans="1:6" x14ac:dyDescent="0.25">
      <c r="A69" s="15"/>
      <c r="D69" s="15"/>
      <c r="E69" s="15"/>
      <c r="F69" s="15"/>
    </row>
    <row r="70" spans="1:6" x14ac:dyDescent="0.25">
      <c r="A70" s="15"/>
      <c r="D70" s="15"/>
      <c r="E70" s="15"/>
      <c r="F70" s="15"/>
    </row>
    <row r="71" spans="1:6" x14ac:dyDescent="0.25">
      <c r="A71" s="15"/>
      <c r="D71" s="15"/>
      <c r="E71" s="15"/>
      <c r="F71" s="15"/>
    </row>
    <row r="72" spans="1:6" x14ac:dyDescent="0.25">
      <c r="A72" s="15"/>
      <c r="D72" s="15"/>
      <c r="E72" s="15"/>
      <c r="F72" s="15"/>
    </row>
    <row r="73" spans="1:6" x14ac:dyDescent="0.25">
      <c r="A73" s="15"/>
      <c r="D73" s="15"/>
      <c r="E73" s="15"/>
      <c r="F73" s="15"/>
    </row>
    <row r="74" spans="1:6" x14ac:dyDescent="0.25">
      <c r="A74" s="15"/>
      <c r="D74" s="15"/>
      <c r="E74" s="15"/>
      <c r="F74" s="15"/>
    </row>
    <row r="75" spans="1:6" x14ac:dyDescent="0.25">
      <c r="A75" s="15"/>
      <c r="D75" s="15"/>
      <c r="E75" s="15"/>
      <c r="F75" s="15"/>
    </row>
  </sheetData>
  <conditionalFormatting sqref="D33:I33">
    <cfRule type="colorScale" priority="4">
      <colorScale>
        <cfvo type="min"/>
        <cfvo type="max"/>
        <color rgb="FFFFEF9C"/>
        <color rgb="FF63BE7B"/>
      </colorScale>
    </cfRule>
  </conditionalFormatting>
  <conditionalFormatting sqref="D32:I32">
    <cfRule type="colorScale" priority="3">
      <colorScale>
        <cfvo type="min"/>
        <cfvo type="max"/>
        <color rgb="FFFFEF9C"/>
        <color rgb="FF63BE7B"/>
      </colorScale>
    </cfRule>
  </conditionalFormatting>
  <conditionalFormatting sqref="D30:I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topLeftCell="K17" workbookViewId="0">
      <selection activeCell="J28" sqref="J28"/>
    </sheetView>
  </sheetViews>
  <sheetFormatPr baseColWidth="10" defaultRowHeight="15" x14ac:dyDescent="0.25"/>
  <cols>
    <col min="2" max="2" width="33.28515625" customWidth="1"/>
  </cols>
  <sheetData>
    <row r="2" spans="2:9" ht="20.25" x14ac:dyDescent="0.3">
      <c r="B2" s="199" t="s">
        <v>159</v>
      </c>
      <c r="C2" s="200"/>
      <c r="D2" s="200"/>
      <c r="E2" s="200"/>
      <c r="F2" s="200"/>
      <c r="G2" s="200"/>
      <c r="H2" s="200"/>
      <c r="I2" s="200"/>
    </row>
    <row r="3" spans="2:9" x14ac:dyDescent="0.25">
      <c r="B3" s="200"/>
      <c r="C3" s="200"/>
      <c r="D3" s="200"/>
      <c r="E3" s="200"/>
      <c r="F3" s="200"/>
      <c r="G3" s="200"/>
      <c r="H3" s="200"/>
      <c r="I3" s="200"/>
    </row>
    <row r="4" spans="2:9" x14ac:dyDescent="0.25">
      <c r="B4" s="78" t="s">
        <v>56</v>
      </c>
      <c r="C4" s="146" t="s">
        <v>59</v>
      </c>
      <c r="D4" s="79" t="s">
        <v>107</v>
      </c>
      <c r="E4" s="79" t="s">
        <v>108</v>
      </c>
      <c r="F4" s="52" t="s">
        <v>138</v>
      </c>
      <c r="G4" s="145" t="s">
        <v>139</v>
      </c>
      <c r="H4" s="145" t="s">
        <v>140</v>
      </c>
      <c r="I4" s="145" t="s">
        <v>141</v>
      </c>
    </row>
    <row r="5" spans="2:9" x14ac:dyDescent="0.25">
      <c r="B5" s="23" t="s">
        <v>94</v>
      </c>
      <c r="C5" s="54" t="s">
        <v>95</v>
      </c>
      <c r="D5" s="170">
        <f>Mastdauer!D15</f>
        <v>15.5</v>
      </c>
      <c r="E5" s="170">
        <f>Mastdauer!D16</f>
        <v>18.5</v>
      </c>
      <c r="F5" s="17">
        <f>Mastdauer!D17</f>
        <v>16.5</v>
      </c>
      <c r="G5" s="3">
        <f>Mastdauer!D18</f>
        <v>19.5</v>
      </c>
      <c r="H5" s="3">
        <f>Mastdauer!D19</f>
        <v>15.5</v>
      </c>
      <c r="I5" s="3">
        <f>Mastdauer!D20</f>
        <v>18.5</v>
      </c>
    </row>
    <row r="6" spans="2:9" ht="15.75" thickBot="1" x14ac:dyDescent="0.3">
      <c r="B6" s="19"/>
      <c r="C6" s="147" t="s">
        <v>93</v>
      </c>
      <c r="D6" s="76">
        <f>D5*30.417</f>
        <v>471.46350000000001</v>
      </c>
      <c r="E6" s="76">
        <f>E5*30.417</f>
        <v>562.71450000000004</v>
      </c>
      <c r="F6" s="76">
        <f t="shared" ref="F6:I6" si="0">F5*30.417</f>
        <v>501.88050000000004</v>
      </c>
      <c r="G6" s="76">
        <f t="shared" si="0"/>
        <v>593.13150000000007</v>
      </c>
      <c r="H6" s="76">
        <f t="shared" si="0"/>
        <v>471.46350000000001</v>
      </c>
      <c r="I6" s="76">
        <f t="shared" si="0"/>
        <v>562.71450000000004</v>
      </c>
    </row>
    <row r="7" spans="2:9" ht="15.75" thickBot="1" x14ac:dyDescent="0.3">
      <c r="B7" s="121" t="s">
        <v>35</v>
      </c>
      <c r="C7" s="71" t="s">
        <v>51</v>
      </c>
      <c r="D7" s="62">
        <f>Kosten!C19</f>
        <v>250</v>
      </c>
      <c r="E7" s="62">
        <f>Kosten!C23</f>
        <v>200</v>
      </c>
      <c r="F7" s="42">
        <f>Kosten!C18</f>
        <v>200</v>
      </c>
      <c r="G7" s="148">
        <f>Kosten!C22</f>
        <v>160</v>
      </c>
      <c r="H7" s="148">
        <f>Kosten!C17</f>
        <v>300</v>
      </c>
      <c r="I7" s="149">
        <f>Kosten!C21</f>
        <v>250</v>
      </c>
    </row>
    <row r="8" spans="2:9" x14ac:dyDescent="0.25">
      <c r="B8" s="21" t="s">
        <v>36</v>
      </c>
      <c r="C8" s="1" t="s">
        <v>51</v>
      </c>
      <c r="D8" s="63">
        <v>15</v>
      </c>
      <c r="E8" s="63">
        <v>15</v>
      </c>
      <c r="F8" s="63">
        <v>15</v>
      </c>
      <c r="G8" s="63">
        <v>15</v>
      </c>
      <c r="H8" s="63">
        <v>15</v>
      </c>
      <c r="I8" s="63">
        <v>15</v>
      </c>
    </row>
    <row r="9" spans="2:9" x14ac:dyDescent="0.25">
      <c r="B9" s="22" t="s">
        <v>37</v>
      </c>
      <c r="C9" s="2" t="s">
        <v>51</v>
      </c>
      <c r="D9" s="61">
        <v>25</v>
      </c>
      <c r="E9" s="61">
        <v>25</v>
      </c>
      <c r="F9" s="61">
        <v>25</v>
      </c>
      <c r="G9" s="61">
        <v>25</v>
      </c>
      <c r="H9" s="61">
        <v>25</v>
      </c>
      <c r="I9" s="61">
        <v>25</v>
      </c>
    </row>
    <row r="10" spans="2:9" x14ac:dyDescent="0.25">
      <c r="B10" s="22" t="s">
        <v>52</v>
      </c>
      <c r="C10" s="2" t="s">
        <v>51</v>
      </c>
      <c r="D10" s="61">
        <f>17.5/12*D5</f>
        <v>22.604166666666664</v>
      </c>
      <c r="E10" s="61">
        <f>17.5/12*E5</f>
        <v>26.979166666666664</v>
      </c>
      <c r="F10" s="61">
        <f t="shared" ref="F10:I10" si="1">17.5/12*F5</f>
        <v>24.0625</v>
      </c>
      <c r="G10" s="61">
        <f t="shared" si="1"/>
        <v>28.4375</v>
      </c>
      <c r="H10" s="61">
        <f t="shared" si="1"/>
        <v>22.604166666666664</v>
      </c>
      <c r="I10" s="61">
        <f t="shared" si="1"/>
        <v>26.979166666666664</v>
      </c>
    </row>
    <row r="11" spans="2:9" x14ac:dyDescent="0.25">
      <c r="B11" s="22" t="s">
        <v>38</v>
      </c>
      <c r="C11" s="2" t="s">
        <v>51</v>
      </c>
      <c r="D11" s="61">
        <f>D6*D37</f>
        <v>141.43905000000001</v>
      </c>
      <c r="E11" s="61">
        <f>E6*E37</f>
        <v>185.69578500000003</v>
      </c>
      <c r="F11" s="61">
        <f>F6*D37</f>
        <v>150.56415000000001</v>
      </c>
      <c r="G11" s="61">
        <f>G6*E37</f>
        <v>195.73339500000003</v>
      </c>
      <c r="H11" s="61">
        <f>H6*D37</f>
        <v>141.43905000000001</v>
      </c>
      <c r="I11" s="61">
        <f>I6*E37</f>
        <v>185.69578500000003</v>
      </c>
    </row>
    <row r="12" spans="2:9" x14ac:dyDescent="0.25">
      <c r="B12" s="22" t="s">
        <v>39</v>
      </c>
      <c r="C12" s="2" t="s">
        <v>51</v>
      </c>
      <c r="D12" s="61">
        <f>D38*D6</f>
        <v>377.17080000000004</v>
      </c>
      <c r="E12" s="61">
        <f>E6*E38</f>
        <v>337.62870000000004</v>
      </c>
      <c r="F12" s="61">
        <f>D38*F6</f>
        <v>401.50440000000003</v>
      </c>
      <c r="G12" s="61">
        <f>E38*G6</f>
        <v>355.87890000000004</v>
      </c>
      <c r="H12" s="127">
        <f>D38*H6</f>
        <v>377.17080000000004</v>
      </c>
      <c r="I12" s="127">
        <f>E38*I6</f>
        <v>337.62870000000004</v>
      </c>
    </row>
    <row r="13" spans="2:9" x14ac:dyDescent="0.25">
      <c r="B13" s="22" t="s">
        <v>41</v>
      </c>
      <c r="C13" s="2" t="s">
        <v>51</v>
      </c>
      <c r="D13" s="61">
        <f>D39*D6</f>
        <v>18.858540000000001</v>
      </c>
      <c r="E13" s="61">
        <f>E39*E6</f>
        <v>22.508580000000002</v>
      </c>
      <c r="F13" s="61">
        <f>D39*F6</f>
        <v>20.075220000000002</v>
      </c>
      <c r="G13" s="61">
        <f>E39*G6</f>
        <v>23.725260000000002</v>
      </c>
      <c r="H13" s="128">
        <f>D39*H6</f>
        <v>18.858540000000001</v>
      </c>
      <c r="I13" s="128">
        <f>E39*I6</f>
        <v>22.508580000000002</v>
      </c>
    </row>
    <row r="14" spans="2:9" x14ac:dyDescent="0.25">
      <c r="B14" s="22" t="s">
        <v>40</v>
      </c>
      <c r="C14" s="2" t="s">
        <v>51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x14ac:dyDescent="0.25">
      <c r="B15" s="22" t="s">
        <v>111</v>
      </c>
      <c r="C15" s="2" t="s">
        <v>51</v>
      </c>
      <c r="D15" s="61">
        <f>D5*Kosten!H41</f>
        <v>64.583333333333343</v>
      </c>
      <c r="E15" s="61">
        <f>E5*Kosten!H41</f>
        <v>77.083333333333343</v>
      </c>
      <c r="F15" s="61">
        <f>F5*Kosten!H41</f>
        <v>68.75</v>
      </c>
      <c r="G15" s="61">
        <f>G5*Kosten!H41</f>
        <v>81.25</v>
      </c>
      <c r="H15" s="61">
        <f>H5*Kosten!H41</f>
        <v>64.583333333333343</v>
      </c>
      <c r="I15" s="61">
        <f>I5*Kosten!H41</f>
        <v>77.083333333333343</v>
      </c>
    </row>
    <row r="16" spans="2:9" x14ac:dyDescent="0.25">
      <c r="B16" s="22" t="s">
        <v>53</v>
      </c>
      <c r="C16" s="2" t="s">
        <v>51</v>
      </c>
      <c r="D16" s="61">
        <v>40</v>
      </c>
      <c r="E16" s="61">
        <v>40</v>
      </c>
      <c r="F16" s="61">
        <v>40</v>
      </c>
      <c r="G16" s="61">
        <v>40</v>
      </c>
      <c r="H16" s="61">
        <v>40</v>
      </c>
      <c r="I16" s="61">
        <v>40</v>
      </c>
    </row>
    <row r="17" spans="2:9" ht="15.75" thickBot="1" x14ac:dyDescent="0.3">
      <c r="B17" s="182" t="s">
        <v>156</v>
      </c>
      <c r="C17" s="169" t="s">
        <v>51</v>
      </c>
      <c r="D17" s="98">
        <f t="shared" ref="D17:I17" si="2">(D7*D6+SUM(D8:D16)*D6/2)*$E42/365</f>
        <v>23.34046365184993</v>
      </c>
      <c r="E17" s="98">
        <f t="shared" si="2"/>
        <v>26.129121284021611</v>
      </c>
      <c r="F17" s="98">
        <f t="shared" si="2"/>
        <v>23.614981860235687</v>
      </c>
      <c r="G17" s="98">
        <f t="shared" si="2"/>
        <v>26.447775551084906</v>
      </c>
      <c r="H17" s="98">
        <f t="shared" si="2"/>
        <v>25.277984884726642</v>
      </c>
      <c r="I17" s="98">
        <f t="shared" si="2"/>
        <v>28.441646626487362</v>
      </c>
    </row>
    <row r="18" spans="2:9" ht="15.75" thickBot="1" x14ac:dyDescent="0.3">
      <c r="B18" s="121" t="s">
        <v>42</v>
      </c>
      <c r="C18" s="71" t="s">
        <v>51</v>
      </c>
      <c r="D18" s="62">
        <f t="shared" ref="D18:I18" si="3">SUM(D7:D16)</f>
        <v>954.65589000000011</v>
      </c>
      <c r="E18" s="62">
        <f t="shared" si="3"/>
        <v>929.89556500000026</v>
      </c>
      <c r="F18" s="62">
        <f t="shared" si="3"/>
        <v>944.95627000000013</v>
      </c>
      <c r="G18" s="62">
        <f t="shared" si="3"/>
        <v>925.02505500000018</v>
      </c>
      <c r="H18" s="62">
        <f t="shared" si="3"/>
        <v>1004.6558900000001</v>
      </c>
      <c r="I18" s="144">
        <f t="shared" si="3"/>
        <v>979.89556500000026</v>
      </c>
    </row>
    <row r="19" spans="2:9" ht="15.75" thickBot="1" x14ac:dyDescent="0.3">
      <c r="B19" s="121" t="s">
        <v>105</v>
      </c>
      <c r="C19" s="71" t="s">
        <v>51</v>
      </c>
      <c r="D19" s="62">
        <f>Einnahmen!C6-D18</f>
        <v>778.00650447999999</v>
      </c>
      <c r="E19" s="62">
        <f>Einnahmen!C10-E18</f>
        <v>513.84623999999963</v>
      </c>
      <c r="F19" s="62">
        <f>Schlachterlöse!H7-F18</f>
        <v>439.78449179999984</v>
      </c>
      <c r="G19" s="62">
        <f>Schlachterlöse!H8-G18</f>
        <v>432.51499199999978</v>
      </c>
      <c r="H19" s="62">
        <f>Schlachterlöse!H9-H18</f>
        <v>728.00650447999999</v>
      </c>
      <c r="I19" s="144">
        <f>Schlachterlöse!H10-I18</f>
        <v>463.84623999999963</v>
      </c>
    </row>
    <row r="20" spans="2:9" x14ac:dyDescent="0.25">
      <c r="B20" s="19"/>
      <c r="C20" s="10"/>
      <c r="D20" s="98"/>
      <c r="E20" s="119"/>
      <c r="F20" s="19"/>
      <c r="G20" s="124"/>
      <c r="H20" s="124"/>
      <c r="I20" s="124"/>
    </row>
    <row r="21" spans="2:9" x14ac:dyDescent="0.25">
      <c r="B21" s="55" t="s">
        <v>43</v>
      </c>
      <c r="C21" s="5"/>
      <c r="D21" s="20"/>
      <c r="E21" s="20"/>
      <c r="F21" s="20"/>
      <c r="G21" s="125"/>
      <c r="H21" s="125"/>
      <c r="I21" s="126"/>
    </row>
    <row r="22" spans="2:9" x14ac:dyDescent="0.25">
      <c r="B22" s="21" t="s">
        <v>44</v>
      </c>
      <c r="C22" s="1" t="s">
        <v>51</v>
      </c>
      <c r="D22" s="63">
        <f t="shared" ref="D22:I22" si="4">19.31/12*D5</f>
        <v>24.942083333333333</v>
      </c>
      <c r="E22" s="63">
        <f t="shared" si="4"/>
        <v>29.769583333333333</v>
      </c>
      <c r="F22" s="63">
        <f t="shared" si="4"/>
        <v>26.55125</v>
      </c>
      <c r="G22" s="63">
        <f t="shared" si="4"/>
        <v>31.37875</v>
      </c>
      <c r="H22" s="63">
        <f t="shared" si="4"/>
        <v>24.942083333333333</v>
      </c>
      <c r="I22" s="63">
        <f t="shared" si="4"/>
        <v>29.769583333333333</v>
      </c>
    </row>
    <row r="23" spans="2:9" ht="15.75" thickBot="1" x14ac:dyDescent="0.3">
      <c r="B23" s="23" t="s">
        <v>45</v>
      </c>
      <c r="C23" s="10" t="s">
        <v>51</v>
      </c>
      <c r="D23" s="76">
        <f>Kosten!H12*D5</f>
        <v>44.433333333333337</v>
      </c>
      <c r="E23" s="76">
        <f>Kosten!H12*E5</f>
        <v>53.033333333333331</v>
      </c>
      <c r="F23" s="76">
        <f>F5*Kosten!H12</f>
        <v>47.3</v>
      </c>
      <c r="G23" s="142">
        <f>G5*Kosten!H12</f>
        <v>55.9</v>
      </c>
      <c r="H23" s="142">
        <f>H5*Kosten!H12</f>
        <v>44.433333333333337</v>
      </c>
      <c r="I23" s="142">
        <f>I5*Kosten!H12</f>
        <v>53.033333333333331</v>
      </c>
    </row>
    <row r="24" spans="2:9" ht="15.75" thickBot="1" x14ac:dyDescent="0.3">
      <c r="B24" s="121" t="s">
        <v>46</v>
      </c>
      <c r="C24" s="71" t="s">
        <v>51</v>
      </c>
      <c r="D24" s="62">
        <f>SUM(D22:D23)</f>
        <v>69.375416666666666</v>
      </c>
      <c r="E24" s="62">
        <f t="shared" ref="E24:I24" si="5">SUM(E22:E23)</f>
        <v>82.802916666666661</v>
      </c>
      <c r="F24" s="62">
        <f t="shared" si="5"/>
        <v>73.851249999999993</v>
      </c>
      <c r="G24" s="62">
        <f t="shared" si="5"/>
        <v>87.278750000000002</v>
      </c>
      <c r="H24" s="62">
        <f t="shared" si="5"/>
        <v>69.375416666666666</v>
      </c>
      <c r="I24" s="144">
        <f t="shared" si="5"/>
        <v>82.802916666666661</v>
      </c>
    </row>
    <row r="25" spans="2:9" x14ac:dyDescent="0.25">
      <c r="B25" s="19"/>
      <c r="C25" s="10"/>
      <c r="D25" s="143"/>
      <c r="E25" s="143"/>
      <c r="F25" s="19"/>
      <c r="G25" s="124"/>
      <c r="H25" s="124"/>
      <c r="I25" s="124"/>
    </row>
    <row r="26" spans="2:9" x14ac:dyDescent="0.25">
      <c r="B26" s="55" t="s">
        <v>48</v>
      </c>
      <c r="C26" s="5"/>
      <c r="D26" s="171"/>
      <c r="E26" s="171"/>
      <c r="F26" s="171"/>
      <c r="G26" s="173"/>
      <c r="H26" s="173"/>
      <c r="I26" s="174"/>
    </row>
    <row r="27" spans="2:9" x14ac:dyDescent="0.25">
      <c r="B27" s="21" t="s">
        <v>47</v>
      </c>
      <c r="C27" s="1" t="s">
        <v>51</v>
      </c>
      <c r="D27" s="63">
        <v>30</v>
      </c>
      <c r="E27" s="63">
        <v>30</v>
      </c>
      <c r="F27" s="63">
        <v>30</v>
      </c>
      <c r="G27" s="63">
        <v>30</v>
      </c>
      <c r="H27" s="63">
        <v>30</v>
      </c>
      <c r="I27" s="63">
        <v>30</v>
      </c>
    </row>
    <row r="28" spans="2:9" x14ac:dyDescent="0.25">
      <c r="B28" s="122" t="s">
        <v>102</v>
      </c>
      <c r="C28" s="4" t="s">
        <v>51</v>
      </c>
      <c r="D28" s="76">
        <f t="shared" ref="D28:I28" si="6">1.6/12*D5</f>
        <v>2.0666666666666664</v>
      </c>
      <c r="E28" s="76">
        <f t="shared" si="6"/>
        <v>2.4666666666666668</v>
      </c>
      <c r="F28" s="76">
        <f t="shared" si="6"/>
        <v>2.2000000000000002</v>
      </c>
      <c r="G28" s="76">
        <f t="shared" si="6"/>
        <v>2.6</v>
      </c>
      <c r="H28" s="76">
        <f t="shared" si="6"/>
        <v>2.0666666666666664</v>
      </c>
      <c r="I28" s="76">
        <f t="shared" si="6"/>
        <v>2.4666666666666668</v>
      </c>
    </row>
    <row r="29" spans="2:9" ht="15.75" thickBot="1" x14ac:dyDescent="0.3">
      <c r="B29" s="123" t="s">
        <v>109</v>
      </c>
      <c r="C29" s="4" t="s">
        <v>51</v>
      </c>
      <c r="D29" s="76">
        <f t="shared" ref="D29:I29" si="7">(D18+D24+D27+D28+$E$41)/2*$E$40</f>
        <v>21.961959466666666</v>
      </c>
      <c r="E29" s="76">
        <f t="shared" si="7"/>
        <v>21.743302966666672</v>
      </c>
      <c r="F29" s="76">
        <f t="shared" si="7"/>
        <v>21.860150400000002</v>
      </c>
      <c r="G29" s="76">
        <f t="shared" si="7"/>
        <v>21.738076100000004</v>
      </c>
      <c r="H29" s="76">
        <f t="shared" si="7"/>
        <v>22.961959466666666</v>
      </c>
      <c r="I29" s="76">
        <f t="shared" si="7"/>
        <v>22.743302966666676</v>
      </c>
    </row>
    <row r="30" spans="2:9" ht="15.75" thickBot="1" x14ac:dyDescent="0.3">
      <c r="B30" s="121" t="s">
        <v>49</v>
      </c>
      <c r="C30" s="71" t="s">
        <v>51</v>
      </c>
      <c r="D30" s="62">
        <f>SUM(D24+D27+D28+D18+D29)</f>
        <v>1078.0599328000001</v>
      </c>
      <c r="E30" s="62">
        <f t="shared" ref="E30:I30" si="8">SUM(E24+E27+E28+E18+E29)</f>
        <v>1066.9084513000003</v>
      </c>
      <c r="F30" s="62">
        <f t="shared" si="8"/>
        <v>1072.8676704000002</v>
      </c>
      <c r="G30" s="62">
        <f t="shared" si="8"/>
        <v>1066.6418811000001</v>
      </c>
      <c r="H30" s="62">
        <f t="shared" si="8"/>
        <v>1129.0599328000001</v>
      </c>
      <c r="I30" s="144">
        <f t="shared" si="8"/>
        <v>1117.9084513000003</v>
      </c>
    </row>
    <row r="31" spans="2:9" ht="15.75" thickBot="1" x14ac:dyDescent="0.3">
      <c r="B31" s="141"/>
      <c r="C31" s="120"/>
      <c r="D31" s="172"/>
      <c r="E31" s="172"/>
      <c r="F31" s="172"/>
      <c r="G31" s="151"/>
      <c r="H31" s="151"/>
      <c r="I31" s="175"/>
    </row>
    <row r="32" spans="2:9" ht="15.75" thickBot="1" x14ac:dyDescent="0.3">
      <c r="B32" s="121" t="s">
        <v>50</v>
      </c>
      <c r="C32" s="71" t="s">
        <v>51</v>
      </c>
      <c r="D32" s="62">
        <f>Einnahmen!C6-D30</f>
        <v>654.60246168000003</v>
      </c>
      <c r="E32" s="62">
        <f>Einnahmen!C12-E30</f>
        <v>340.91085669999961</v>
      </c>
      <c r="F32" s="62">
        <f>Einnahmen!C7-F30</f>
        <v>311.87309139999979</v>
      </c>
      <c r="G32" s="62">
        <f>Einnahmen!C11-G30</f>
        <v>290.89816589999987</v>
      </c>
      <c r="H32" s="62">
        <f>-H30+Einnahmen!C6</f>
        <v>603.60246168000003</v>
      </c>
      <c r="I32" s="144">
        <f>Einnahmen!C10-I30</f>
        <v>325.83335369999963</v>
      </c>
    </row>
    <row r="33" spans="2:9" ht="15.75" thickBot="1" x14ac:dyDescent="0.3">
      <c r="B33" s="198"/>
      <c r="C33" s="42" t="s">
        <v>157</v>
      </c>
      <c r="D33" s="62">
        <f>D32/D5*12</f>
        <v>506.7890025909677</v>
      </c>
      <c r="E33" s="62">
        <f t="shared" ref="E33:I33" si="9">E32/E5*12</f>
        <v>221.13136650810785</v>
      </c>
      <c r="F33" s="62">
        <f t="shared" si="9"/>
        <v>226.81679374545439</v>
      </c>
      <c r="G33" s="62">
        <f t="shared" si="9"/>
        <v>179.01425593846145</v>
      </c>
      <c r="H33" s="62">
        <f t="shared" si="9"/>
        <v>467.3051316232258</v>
      </c>
      <c r="I33" s="144">
        <f t="shared" si="9"/>
        <v>211.3513645621619</v>
      </c>
    </row>
    <row r="34" spans="2:9" x14ac:dyDescent="0.25">
      <c r="F34" s="15"/>
    </row>
    <row r="35" spans="2:9" x14ac:dyDescent="0.25">
      <c r="F35" s="15"/>
    </row>
    <row r="36" spans="2:9" x14ac:dyDescent="0.25">
      <c r="B36" s="55" t="s">
        <v>103</v>
      </c>
      <c r="C36" s="68"/>
      <c r="D36" s="52" t="s">
        <v>97</v>
      </c>
      <c r="E36" s="52" t="s">
        <v>98</v>
      </c>
      <c r="F36" s="15"/>
    </row>
    <row r="37" spans="2:9" x14ac:dyDescent="0.25">
      <c r="B37" s="19"/>
      <c r="C37" s="65" t="s">
        <v>38</v>
      </c>
      <c r="D37" s="58">
        <f>Kosten!H21</f>
        <v>0.3</v>
      </c>
      <c r="E37" s="66">
        <f>Kosten!H32</f>
        <v>0.33</v>
      </c>
      <c r="F37" s="15"/>
    </row>
    <row r="38" spans="2:9" x14ac:dyDescent="0.25">
      <c r="B38" s="19"/>
      <c r="C38" s="56" t="s">
        <v>39</v>
      </c>
      <c r="D38" s="58">
        <f>Kosten!H22</f>
        <v>0.8</v>
      </c>
      <c r="E38" s="66">
        <f>Kosten!H33</f>
        <v>0.6</v>
      </c>
      <c r="F38" s="15"/>
    </row>
    <row r="39" spans="2:9" x14ac:dyDescent="0.25">
      <c r="B39" s="21"/>
      <c r="C39" s="56" t="s">
        <v>34</v>
      </c>
      <c r="D39" s="58">
        <f>Kosten!H23</f>
        <v>0.04</v>
      </c>
      <c r="E39" s="66">
        <f>Kosten!H34</f>
        <v>0.04</v>
      </c>
      <c r="F39" s="15"/>
    </row>
    <row r="40" spans="2:9" x14ac:dyDescent="0.25">
      <c r="B40" s="155" t="s">
        <v>110</v>
      </c>
      <c r="C40" s="75"/>
      <c r="D40" s="75"/>
      <c r="E40" s="167">
        <v>0.04</v>
      </c>
      <c r="F40" s="15"/>
    </row>
    <row r="41" spans="2:9" x14ac:dyDescent="0.25">
      <c r="B41" s="155" t="s">
        <v>144</v>
      </c>
      <c r="C41" s="75"/>
      <c r="D41" s="75"/>
      <c r="E41" s="156">
        <f>18+48/2</f>
        <v>42</v>
      </c>
      <c r="F41" s="15"/>
    </row>
    <row r="42" spans="2:9" x14ac:dyDescent="0.25">
      <c r="B42" s="155" t="s">
        <v>156</v>
      </c>
      <c r="C42" s="75"/>
      <c r="D42" s="75"/>
      <c r="E42" s="168">
        <v>0.03</v>
      </c>
      <c r="F42" s="15"/>
    </row>
    <row r="43" spans="2:9" x14ac:dyDescent="0.25">
      <c r="E43" s="15"/>
      <c r="F43" s="15"/>
    </row>
  </sheetData>
  <conditionalFormatting sqref="D32:I32">
    <cfRule type="colorScale" priority="3">
      <colorScale>
        <cfvo type="min"/>
        <cfvo type="max"/>
        <color rgb="FFFFEF9C"/>
        <color rgb="FF63BE7B"/>
      </colorScale>
    </cfRule>
  </conditionalFormatting>
  <conditionalFormatting sqref="D33:I33">
    <cfRule type="colorScale" priority="2">
      <colorScale>
        <cfvo type="min"/>
        <cfvo type="max"/>
        <color rgb="FFFFEF9C"/>
        <color rgb="FF63BE7B"/>
      </colorScale>
    </cfRule>
  </conditionalFormatting>
  <conditionalFormatting sqref="D30:I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tabSelected="1" topLeftCell="A12" workbookViewId="0">
      <selection activeCell="I26" sqref="I26"/>
    </sheetView>
  </sheetViews>
  <sheetFormatPr baseColWidth="10" defaultRowHeight="15" x14ac:dyDescent="0.25"/>
  <cols>
    <col min="2" max="2" width="32.42578125" customWidth="1"/>
  </cols>
  <sheetData>
    <row r="2" spans="2:9" ht="20.25" x14ac:dyDescent="0.3">
      <c r="B2" s="180" t="s">
        <v>160</v>
      </c>
    </row>
    <row r="4" spans="2:9" x14ac:dyDescent="0.25">
      <c r="B4" s="78" t="s">
        <v>56</v>
      </c>
      <c r="C4" s="146" t="s">
        <v>59</v>
      </c>
      <c r="D4" s="79" t="s">
        <v>107</v>
      </c>
      <c r="E4" s="79" t="s">
        <v>108</v>
      </c>
      <c r="F4" s="52" t="s">
        <v>138</v>
      </c>
      <c r="G4" s="145" t="s">
        <v>139</v>
      </c>
      <c r="H4" s="145" t="s">
        <v>140</v>
      </c>
      <c r="I4" s="145" t="s">
        <v>141</v>
      </c>
    </row>
    <row r="5" spans="2:9" x14ac:dyDescent="0.25">
      <c r="B5" s="23" t="s">
        <v>94</v>
      </c>
      <c r="C5" s="54" t="s">
        <v>95</v>
      </c>
      <c r="D5" s="170">
        <f>Mastdauer!D25</f>
        <v>12.25</v>
      </c>
      <c r="E5" s="170">
        <f>Mastdauer!D26</f>
        <v>15.75</v>
      </c>
      <c r="F5" s="17">
        <f>Mastdauer!D27</f>
        <v>13.25</v>
      </c>
      <c r="G5" s="3">
        <f>Mastdauer!D28</f>
        <v>16.25</v>
      </c>
      <c r="H5" s="3">
        <f>Mastdauer!D29</f>
        <v>12.25</v>
      </c>
      <c r="I5" s="3">
        <f>Mastdauer!D30</f>
        <v>15.25</v>
      </c>
    </row>
    <row r="6" spans="2:9" ht="15.75" thickBot="1" x14ac:dyDescent="0.3">
      <c r="B6" s="19"/>
      <c r="C6" s="147" t="s">
        <v>93</v>
      </c>
      <c r="D6" s="76">
        <f>D5*30.417</f>
        <v>372.60825</v>
      </c>
      <c r="E6" s="76">
        <f>E5*30.417</f>
        <v>479.06775000000005</v>
      </c>
      <c r="F6" s="76">
        <f t="shared" ref="F6:I6" si="0">F5*30.417</f>
        <v>403.02525000000003</v>
      </c>
      <c r="G6" s="76">
        <f t="shared" si="0"/>
        <v>494.27625</v>
      </c>
      <c r="H6" s="76">
        <f t="shared" si="0"/>
        <v>372.60825</v>
      </c>
      <c r="I6" s="76">
        <f t="shared" si="0"/>
        <v>463.85925000000003</v>
      </c>
    </row>
    <row r="7" spans="2:9" ht="15.75" thickBot="1" x14ac:dyDescent="0.3">
      <c r="B7" s="121" t="s">
        <v>35</v>
      </c>
      <c r="C7" s="71" t="s">
        <v>51</v>
      </c>
      <c r="D7" s="62">
        <f>Kosten!C30</f>
        <v>650</v>
      </c>
      <c r="E7" s="62">
        <f>Kosten!C34</f>
        <v>600</v>
      </c>
      <c r="F7" s="42">
        <f>Kosten!C29</f>
        <v>550</v>
      </c>
      <c r="G7" s="148">
        <f>Kosten!C33</f>
        <v>500</v>
      </c>
      <c r="H7" s="148">
        <f>Kosten!C28</f>
        <v>740</v>
      </c>
      <c r="I7" s="149">
        <f>Kosten!C32</f>
        <v>700</v>
      </c>
    </row>
    <row r="8" spans="2:9" x14ac:dyDescent="0.25">
      <c r="B8" s="21" t="s">
        <v>36</v>
      </c>
      <c r="C8" s="1" t="s">
        <v>51</v>
      </c>
      <c r="D8" s="63">
        <v>5</v>
      </c>
      <c r="E8" s="63">
        <v>5</v>
      </c>
      <c r="F8" s="63">
        <v>5</v>
      </c>
      <c r="G8" s="63">
        <v>5</v>
      </c>
      <c r="H8" s="63">
        <v>5</v>
      </c>
      <c r="I8" s="63">
        <v>5</v>
      </c>
    </row>
    <row r="9" spans="2:9" x14ac:dyDescent="0.25">
      <c r="B9" s="22" t="s">
        <v>37</v>
      </c>
      <c r="C9" s="2" t="s">
        <v>51</v>
      </c>
      <c r="D9" s="61">
        <v>25</v>
      </c>
      <c r="E9" s="61">
        <v>25</v>
      </c>
      <c r="F9" s="61">
        <v>25</v>
      </c>
      <c r="G9" s="61">
        <v>25</v>
      </c>
      <c r="H9" s="61">
        <v>25</v>
      </c>
      <c r="I9" s="61">
        <v>25</v>
      </c>
    </row>
    <row r="10" spans="2:9" x14ac:dyDescent="0.25">
      <c r="B10" s="22" t="s">
        <v>52</v>
      </c>
      <c r="C10" s="2" t="s">
        <v>51</v>
      </c>
      <c r="D10" s="61">
        <f>17.5/12*D5</f>
        <v>17.864583333333332</v>
      </c>
      <c r="E10" s="61">
        <f>17.5/12*E5</f>
        <v>22.96875</v>
      </c>
      <c r="F10" s="61">
        <f t="shared" ref="F10:I10" si="1">17.5/12*F5</f>
        <v>19.322916666666664</v>
      </c>
      <c r="G10" s="61">
        <f t="shared" si="1"/>
        <v>23.697916666666664</v>
      </c>
      <c r="H10" s="61">
        <f t="shared" si="1"/>
        <v>17.864583333333332</v>
      </c>
      <c r="I10" s="61">
        <f t="shared" si="1"/>
        <v>22.239583333333332</v>
      </c>
    </row>
    <row r="11" spans="2:9" x14ac:dyDescent="0.25">
      <c r="B11" s="22" t="s">
        <v>38</v>
      </c>
      <c r="C11" s="2" t="s">
        <v>51</v>
      </c>
      <c r="D11" s="61">
        <f>D6*D37</f>
        <v>111.78247499999999</v>
      </c>
      <c r="E11" s="61">
        <f>E6*E37</f>
        <v>158.09235750000002</v>
      </c>
      <c r="F11" s="61">
        <f>F6*D37</f>
        <v>120.90757500000001</v>
      </c>
      <c r="G11" s="61">
        <f>G6*E37</f>
        <v>163.11116250000001</v>
      </c>
      <c r="H11" s="61">
        <f>H6*D37</f>
        <v>111.78247499999999</v>
      </c>
      <c r="I11" s="61">
        <f>I6*E37</f>
        <v>153.07355250000001</v>
      </c>
    </row>
    <row r="12" spans="2:9" x14ac:dyDescent="0.25">
      <c r="B12" s="22" t="s">
        <v>39</v>
      </c>
      <c r="C12" s="2" t="s">
        <v>51</v>
      </c>
      <c r="D12" s="61">
        <f>D38*D6</f>
        <v>298.08660000000003</v>
      </c>
      <c r="E12" s="61">
        <f>E6*E38</f>
        <v>287.44065000000001</v>
      </c>
      <c r="F12" s="61">
        <f>D38*F6</f>
        <v>322.42020000000002</v>
      </c>
      <c r="G12" s="61">
        <f>E38*G6</f>
        <v>296.56574999999998</v>
      </c>
      <c r="H12" s="127">
        <f>D38*H6</f>
        <v>298.08660000000003</v>
      </c>
      <c r="I12" s="127">
        <f>E38*I6</f>
        <v>278.31555000000003</v>
      </c>
    </row>
    <row r="13" spans="2:9" x14ac:dyDescent="0.25">
      <c r="B13" s="22" t="s">
        <v>41</v>
      </c>
      <c r="C13" s="2" t="s">
        <v>51</v>
      </c>
      <c r="D13" s="61">
        <f>D39*D6</f>
        <v>14.90433</v>
      </c>
      <c r="E13" s="61">
        <f>E39*E6</f>
        <v>19.162710000000001</v>
      </c>
      <c r="F13" s="61">
        <f>D39*F6</f>
        <v>16.121010000000002</v>
      </c>
      <c r="G13" s="61">
        <f>E39*G6</f>
        <v>19.771049999999999</v>
      </c>
      <c r="H13" s="128">
        <f>D39*H6</f>
        <v>14.90433</v>
      </c>
      <c r="I13" s="128">
        <f>E39*I6</f>
        <v>18.554370000000002</v>
      </c>
    </row>
    <row r="14" spans="2:9" x14ac:dyDescent="0.25">
      <c r="B14" s="22" t="s">
        <v>40</v>
      </c>
      <c r="C14" s="2" t="s">
        <v>51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x14ac:dyDescent="0.25">
      <c r="B15" s="22" t="s">
        <v>111</v>
      </c>
      <c r="C15" s="2" t="s">
        <v>51</v>
      </c>
      <c r="D15" s="61">
        <f>D5*Kosten!H41</f>
        <v>51.041666666666671</v>
      </c>
      <c r="E15" s="61">
        <f>E5*Kosten!H41</f>
        <v>65.625</v>
      </c>
      <c r="F15" s="61">
        <f>F5*Kosten!H41</f>
        <v>55.208333333333336</v>
      </c>
      <c r="G15" s="61">
        <f>G5*Kosten!H41</f>
        <v>67.708333333333343</v>
      </c>
      <c r="H15" s="61">
        <f>H5*Kosten!H41</f>
        <v>51.041666666666671</v>
      </c>
      <c r="I15" s="61">
        <f>I5*Kosten!H41</f>
        <v>63.541666666666671</v>
      </c>
    </row>
    <row r="16" spans="2:9" x14ac:dyDescent="0.25">
      <c r="B16" s="22" t="s">
        <v>53</v>
      </c>
      <c r="C16" s="2" t="s">
        <v>51</v>
      </c>
      <c r="D16" s="61">
        <v>40</v>
      </c>
      <c r="E16" s="61">
        <v>40</v>
      </c>
      <c r="F16" s="61">
        <v>40</v>
      </c>
      <c r="G16" s="61">
        <v>40</v>
      </c>
      <c r="H16" s="61">
        <v>40</v>
      </c>
      <c r="I16" s="61">
        <v>40</v>
      </c>
    </row>
    <row r="17" spans="2:9" ht="15.75" thickBot="1" x14ac:dyDescent="0.3">
      <c r="B17" s="166" t="s">
        <v>156</v>
      </c>
      <c r="C17" s="169" t="s">
        <v>51</v>
      </c>
      <c r="D17" s="98">
        <f t="shared" ref="D17:I17" si="2">(D7*D6+SUM(D8:D16)*D6/2)*$E42/365</f>
        <v>28.537907457951523</v>
      </c>
      <c r="E17" s="98">
        <f t="shared" si="2"/>
        <v>35.896404772353009</v>
      </c>
      <c r="F17" s="98">
        <f t="shared" si="2"/>
        <v>28.22247861373495</v>
      </c>
      <c r="G17" s="98">
        <f t="shared" si="2"/>
        <v>33.330216450049441</v>
      </c>
      <c r="H17" s="98">
        <f t="shared" si="2"/>
        <v>31.294187663430975</v>
      </c>
      <c r="I17" s="98">
        <f t="shared" si="2"/>
        <v>38.234546526793487</v>
      </c>
    </row>
    <row r="18" spans="2:9" ht="15.75" thickBot="1" x14ac:dyDescent="0.3">
      <c r="B18" s="121" t="s">
        <v>42</v>
      </c>
      <c r="C18" s="71" t="s">
        <v>51</v>
      </c>
      <c r="D18" s="62">
        <f t="shared" ref="D18:I18" si="3">SUM(D7:D16)</f>
        <v>1213.6796550000001</v>
      </c>
      <c r="E18" s="62">
        <f t="shared" si="3"/>
        <v>1223.2894675000002</v>
      </c>
      <c r="F18" s="62">
        <f t="shared" si="3"/>
        <v>1153.980035</v>
      </c>
      <c r="G18" s="62">
        <f t="shared" si="3"/>
        <v>1140.8542124999999</v>
      </c>
      <c r="H18" s="62">
        <f t="shared" si="3"/>
        <v>1303.6796550000001</v>
      </c>
      <c r="I18" s="144">
        <f t="shared" si="3"/>
        <v>1305.7247225000001</v>
      </c>
    </row>
    <row r="19" spans="2:9" ht="15.75" thickBot="1" x14ac:dyDescent="0.3">
      <c r="B19" s="121" t="s">
        <v>105</v>
      </c>
      <c r="C19" s="71" t="s">
        <v>51</v>
      </c>
      <c r="D19" s="62">
        <f>Einnahmen!C6-D18</f>
        <v>518.98273947999996</v>
      </c>
      <c r="E19" s="62">
        <f>Einnahmen!C10-E18</f>
        <v>220.45233749999966</v>
      </c>
      <c r="F19" s="62">
        <f>Schlachterlöse!H7-F18</f>
        <v>230.76072679999993</v>
      </c>
      <c r="G19" s="62">
        <f>Schlachterlöse!H8-G18</f>
        <v>216.68583450000006</v>
      </c>
      <c r="H19" s="62">
        <f>Schlachterlöse!H9-H18</f>
        <v>428.98273947999996</v>
      </c>
      <c r="I19" s="62">
        <f>Schlachterlöse!H10-I18</f>
        <v>138.01708249999979</v>
      </c>
    </row>
    <row r="20" spans="2:9" x14ac:dyDescent="0.25">
      <c r="B20" s="19"/>
      <c r="C20" s="10"/>
      <c r="D20" s="98"/>
      <c r="E20" s="119"/>
      <c r="F20" s="19"/>
      <c r="G20" s="124"/>
      <c r="H20" s="124"/>
      <c r="I20" s="124"/>
    </row>
    <row r="21" spans="2:9" x14ac:dyDescent="0.25">
      <c r="B21" s="55" t="s">
        <v>43</v>
      </c>
      <c r="C21" s="5"/>
      <c r="D21" s="20"/>
      <c r="E21" s="20"/>
      <c r="F21" s="20"/>
      <c r="G21" s="125"/>
      <c r="H21" s="125"/>
      <c r="I21" s="126"/>
    </row>
    <row r="22" spans="2:9" x14ac:dyDescent="0.25">
      <c r="B22" s="21" t="s">
        <v>44</v>
      </c>
      <c r="C22" s="1" t="s">
        <v>51</v>
      </c>
      <c r="D22" s="63">
        <f t="shared" ref="D22:I22" si="4">19.31/12*D5</f>
        <v>19.712291666666665</v>
      </c>
      <c r="E22" s="63">
        <f t="shared" si="4"/>
        <v>25.344374999999999</v>
      </c>
      <c r="F22" s="63">
        <f t="shared" si="4"/>
        <v>21.321458333333332</v>
      </c>
      <c r="G22" s="63">
        <f t="shared" si="4"/>
        <v>26.148958333333333</v>
      </c>
      <c r="H22" s="63">
        <f t="shared" si="4"/>
        <v>19.712291666666665</v>
      </c>
      <c r="I22" s="63">
        <f t="shared" si="4"/>
        <v>24.539791666666666</v>
      </c>
    </row>
    <row r="23" spans="2:9" ht="15.75" thickBot="1" x14ac:dyDescent="0.3">
      <c r="B23" s="23" t="s">
        <v>45</v>
      </c>
      <c r="C23" s="10" t="s">
        <v>51</v>
      </c>
      <c r="D23" s="76">
        <f>Kosten!H12*D5</f>
        <v>35.116666666666667</v>
      </c>
      <c r="E23" s="76">
        <f>Kosten!H12*E5</f>
        <v>45.15</v>
      </c>
      <c r="F23" s="76">
        <f>F5*Kosten!H12</f>
        <v>37.983333333333334</v>
      </c>
      <c r="G23" s="142">
        <f>G5*Kosten!H12</f>
        <v>46.583333333333336</v>
      </c>
      <c r="H23" s="142">
        <f>H5*Kosten!H12</f>
        <v>35.116666666666667</v>
      </c>
      <c r="I23" s="142">
        <f>I5*Kosten!H12</f>
        <v>43.716666666666669</v>
      </c>
    </row>
    <row r="24" spans="2:9" ht="15.75" thickBot="1" x14ac:dyDescent="0.3">
      <c r="B24" s="121" t="s">
        <v>46</v>
      </c>
      <c r="C24" s="71" t="s">
        <v>51</v>
      </c>
      <c r="D24" s="62">
        <f>SUM(D22:D23)</f>
        <v>54.828958333333333</v>
      </c>
      <c r="E24" s="62">
        <f t="shared" ref="E24:I24" si="5">SUM(E22:E23)</f>
        <v>70.494374999999991</v>
      </c>
      <c r="F24" s="62">
        <f t="shared" si="5"/>
        <v>59.304791666666667</v>
      </c>
      <c r="G24" s="62">
        <f t="shared" si="5"/>
        <v>72.732291666666669</v>
      </c>
      <c r="H24" s="62">
        <f t="shared" si="5"/>
        <v>54.828958333333333</v>
      </c>
      <c r="I24" s="144">
        <f t="shared" si="5"/>
        <v>68.256458333333342</v>
      </c>
    </row>
    <row r="25" spans="2:9" x14ac:dyDescent="0.25">
      <c r="B25" s="19"/>
      <c r="C25" s="10"/>
      <c r="D25" s="143"/>
      <c r="E25" s="143"/>
      <c r="F25" s="19"/>
      <c r="G25" s="124"/>
      <c r="H25" s="124"/>
      <c r="I25" s="124"/>
    </row>
    <row r="26" spans="2:9" x14ac:dyDescent="0.25">
      <c r="B26" s="55" t="s">
        <v>48</v>
      </c>
      <c r="C26" s="5"/>
      <c r="D26" s="171"/>
      <c r="E26" s="171"/>
      <c r="F26" s="171"/>
      <c r="G26" s="173"/>
      <c r="H26" s="173"/>
      <c r="I26" s="174"/>
    </row>
    <row r="27" spans="2:9" x14ac:dyDescent="0.25">
      <c r="B27" s="21" t="s">
        <v>47</v>
      </c>
      <c r="C27" s="1" t="s">
        <v>51</v>
      </c>
      <c r="D27" s="63">
        <v>30</v>
      </c>
      <c r="E27" s="63">
        <v>30</v>
      </c>
      <c r="F27" s="63">
        <v>30</v>
      </c>
      <c r="G27" s="63">
        <v>30</v>
      </c>
      <c r="H27" s="63">
        <v>30</v>
      </c>
      <c r="I27" s="63">
        <v>30</v>
      </c>
    </row>
    <row r="28" spans="2:9" x14ac:dyDescent="0.25">
      <c r="B28" s="122" t="s">
        <v>102</v>
      </c>
      <c r="C28" s="4" t="s">
        <v>51</v>
      </c>
      <c r="D28" s="76">
        <f t="shared" ref="D28:I28" si="6">1.6/12*D5</f>
        <v>1.6333333333333333</v>
      </c>
      <c r="E28" s="76">
        <f t="shared" si="6"/>
        <v>2.1</v>
      </c>
      <c r="F28" s="76">
        <f t="shared" si="6"/>
        <v>1.7666666666666666</v>
      </c>
      <c r="G28" s="76">
        <f t="shared" si="6"/>
        <v>2.1666666666666665</v>
      </c>
      <c r="H28" s="76">
        <f t="shared" si="6"/>
        <v>1.6333333333333333</v>
      </c>
      <c r="I28" s="76">
        <f t="shared" si="6"/>
        <v>2.0333333333333332</v>
      </c>
    </row>
    <row r="29" spans="2:9" ht="15.75" thickBot="1" x14ac:dyDescent="0.3">
      <c r="B29" s="123" t="s">
        <v>109</v>
      </c>
      <c r="C29" s="4" t="s">
        <v>51</v>
      </c>
      <c r="D29" s="76">
        <f t="shared" ref="D29:I29" si="7">(D18+D24+D27+D28+$E$41)/2*$E$40</f>
        <v>20.132129200000001</v>
      </c>
      <c r="E29" s="76">
        <f t="shared" si="7"/>
        <v>20.5182576375</v>
      </c>
      <c r="F29" s="76">
        <f t="shared" si="7"/>
        <v>19.305772399999999</v>
      </c>
      <c r="G29" s="76">
        <f t="shared" si="7"/>
        <v>19.316297562500001</v>
      </c>
      <c r="H29" s="76">
        <f t="shared" si="7"/>
        <v>21.482129200000003</v>
      </c>
      <c r="I29" s="76">
        <f t="shared" si="7"/>
        <v>21.720217712499998</v>
      </c>
    </row>
    <row r="30" spans="2:9" ht="15.75" thickBot="1" x14ac:dyDescent="0.3">
      <c r="B30" s="121" t="s">
        <v>49</v>
      </c>
      <c r="C30" s="71" t="s">
        <v>51</v>
      </c>
      <c r="D30" s="62">
        <f>SUM(D24+D27+D28+D18+D29)</f>
        <v>1320.2740758666669</v>
      </c>
      <c r="E30" s="62">
        <f t="shared" ref="E30:I30" si="8">SUM(E24+E27+E28+E18+E29)</f>
        <v>1346.4021001375002</v>
      </c>
      <c r="F30" s="62">
        <f t="shared" si="8"/>
        <v>1264.3572657333334</v>
      </c>
      <c r="G30" s="62">
        <f t="shared" si="8"/>
        <v>1265.0694683958334</v>
      </c>
      <c r="H30" s="62">
        <f t="shared" si="8"/>
        <v>1411.6240758666668</v>
      </c>
      <c r="I30" s="144">
        <f t="shared" si="8"/>
        <v>1427.7347318791667</v>
      </c>
    </row>
    <row r="31" spans="2:9" ht="15.75" thickBot="1" x14ac:dyDescent="0.3">
      <c r="B31" s="141"/>
      <c r="C31" s="120"/>
      <c r="D31" s="172"/>
      <c r="E31" s="172"/>
      <c r="F31" s="172"/>
      <c r="G31" s="151"/>
      <c r="H31" s="151"/>
      <c r="I31" s="175"/>
    </row>
    <row r="32" spans="2:9" ht="15.75" thickBot="1" x14ac:dyDescent="0.3">
      <c r="B32" s="121" t="s">
        <v>50</v>
      </c>
      <c r="C32" s="71" t="s">
        <v>51</v>
      </c>
      <c r="D32" s="62">
        <f>Einnahmen!C6-D30</f>
        <v>412.38831861333324</v>
      </c>
      <c r="E32" s="62">
        <f>Einnahmen!C12-E30</f>
        <v>61.417207862499708</v>
      </c>
      <c r="F32" s="62">
        <f>Einnahmen!C7-F30</f>
        <v>120.38349606666657</v>
      </c>
      <c r="G32" s="62">
        <f>Einnahmen!C11-G30</f>
        <v>92.470578604166576</v>
      </c>
      <c r="H32" s="62">
        <f>-H30+Einnahmen!C6</f>
        <v>321.03831861333333</v>
      </c>
      <c r="I32" s="144">
        <f>Einnahmen!C10-I30</f>
        <v>16.007073120833184</v>
      </c>
    </row>
    <row r="33" spans="2:9" ht="15.75" thickBot="1" x14ac:dyDescent="0.3">
      <c r="B33" s="177"/>
      <c r="C33" s="178" t="s">
        <v>157</v>
      </c>
      <c r="D33" s="176">
        <f>D32/D5*12</f>
        <v>403.97223047836729</v>
      </c>
      <c r="E33" s="176">
        <f t="shared" ref="E33:I33" si="9">E32/E5*12</f>
        <v>46.794063133333111</v>
      </c>
      <c r="F33" s="176">
        <f t="shared" si="9"/>
        <v>109.02656247547162</v>
      </c>
      <c r="G33" s="176">
        <f t="shared" si="9"/>
        <v>68.285965738461471</v>
      </c>
      <c r="H33" s="176">
        <f t="shared" si="9"/>
        <v>314.48651619265308</v>
      </c>
      <c r="I33" s="176">
        <f t="shared" si="9"/>
        <v>12.595729668852343</v>
      </c>
    </row>
    <row r="34" spans="2:9" x14ac:dyDescent="0.25">
      <c r="F34" s="15"/>
    </row>
    <row r="35" spans="2:9" x14ac:dyDescent="0.25">
      <c r="F35" s="15"/>
    </row>
    <row r="36" spans="2:9" x14ac:dyDescent="0.25">
      <c r="B36" s="55" t="s">
        <v>103</v>
      </c>
      <c r="C36" s="68"/>
      <c r="D36" s="52" t="s">
        <v>97</v>
      </c>
      <c r="E36" s="52" t="s">
        <v>98</v>
      </c>
      <c r="F36" s="15"/>
    </row>
    <row r="37" spans="2:9" x14ac:dyDescent="0.25">
      <c r="B37" s="19"/>
      <c r="C37" s="65" t="s">
        <v>38</v>
      </c>
      <c r="D37" s="58">
        <f>Kosten!H21</f>
        <v>0.3</v>
      </c>
      <c r="E37" s="66">
        <f>Kosten!H32</f>
        <v>0.33</v>
      </c>
      <c r="F37" s="15"/>
    </row>
    <row r="38" spans="2:9" x14ac:dyDescent="0.25">
      <c r="B38" s="19"/>
      <c r="C38" s="56" t="s">
        <v>39</v>
      </c>
      <c r="D38" s="58">
        <f>Kosten!H22</f>
        <v>0.8</v>
      </c>
      <c r="E38" s="66">
        <f>Kosten!H33</f>
        <v>0.6</v>
      </c>
      <c r="F38" s="15"/>
    </row>
    <row r="39" spans="2:9" x14ac:dyDescent="0.25">
      <c r="B39" s="21"/>
      <c r="C39" s="56" t="s">
        <v>34</v>
      </c>
      <c r="D39" s="58">
        <f>Kosten!H23</f>
        <v>0.04</v>
      </c>
      <c r="E39" s="66">
        <f>Kosten!H34</f>
        <v>0.04</v>
      </c>
      <c r="F39" s="15"/>
    </row>
    <row r="40" spans="2:9" x14ac:dyDescent="0.25">
      <c r="B40" s="155" t="s">
        <v>110</v>
      </c>
      <c r="C40" s="75"/>
      <c r="D40" s="75"/>
      <c r="E40" s="167">
        <v>0.03</v>
      </c>
      <c r="F40" s="15"/>
    </row>
    <row r="41" spans="2:9" x14ac:dyDescent="0.25">
      <c r="B41" s="155" t="s">
        <v>144</v>
      </c>
      <c r="C41" s="75"/>
      <c r="D41" s="75"/>
      <c r="E41" s="156">
        <f>18+48/2</f>
        <v>42</v>
      </c>
      <c r="F41" s="15"/>
    </row>
    <row r="42" spans="2:9" x14ac:dyDescent="0.25">
      <c r="B42" s="155" t="s">
        <v>156</v>
      </c>
      <c r="C42" s="75"/>
      <c r="D42" s="75"/>
      <c r="E42" s="168">
        <v>0.03</v>
      </c>
      <c r="F42" s="15"/>
    </row>
  </sheetData>
  <conditionalFormatting sqref="D32:I32">
    <cfRule type="colorScale" priority="3">
      <colorScale>
        <cfvo type="min"/>
        <cfvo type="max"/>
        <color rgb="FFFFEF9C"/>
        <color rgb="FF63BE7B"/>
      </colorScale>
    </cfRule>
  </conditionalFormatting>
  <conditionalFormatting sqref="D33:I33">
    <cfRule type="colorScale" priority="2">
      <colorScale>
        <cfvo type="min"/>
        <cfvo type="max"/>
        <color rgb="FFFFEF9C"/>
        <color rgb="FF63BE7B"/>
      </colorScale>
    </cfRule>
  </conditionalFormatting>
  <conditionalFormatting sqref="D30:I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40" zoomScaleNormal="100" workbookViewId="0">
      <selection activeCell="L1" sqref="L1:L1048576"/>
    </sheetView>
  </sheetViews>
  <sheetFormatPr baseColWidth="10" defaultRowHeight="15" x14ac:dyDescent="0.25"/>
  <cols>
    <col min="1" max="1" width="10.42578125" customWidth="1"/>
    <col min="2" max="4" width="22.7109375" customWidth="1"/>
    <col min="5" max="5" width="14.140625" customWidth="1"/>
    <col min="8" max="8" width="19.5703125" customWidth="1"/>
    <col min="9" max="9" width="24.85546875" customWidth="1"/>
    <col min="10" max="10" width="45.85546875" customWidth="1"/>
  </cols>
  <sheetData>
    <row r="1" spans="1:11" x14ac:dyDescent="0.25">
      <c r="C1" s="162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x14ac:dyDescent="0.3">
      <c r="A3" s="6"/>
      <c r="B3" s="67" t="s">
        <v>12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6"/>
      <c r="B5" s="6"/>
      <c r="C5" s="6"/>
      <c r="D5" s="6"/>
      <c r="E5" s="6"/>
      <c r="F5" s="6"/>
      <c r="G5" s="6"/>
      <c r="H5" s="7"/>
      <c r="I5" s="6"/>
    </row>
    <row r="6" spans="1:11" x14ac:dyDescent="0.25">
      <c r="A6" s="6"/>
      <c r="B6" s="191"/>
      <c r="C6" s="192" t="s">
        <v>13</v>
      </c>
      <c r="D6" s="196"/>
    </row>
    <row r="7" spans="1:11" x14ac:dyDescent="0.25">
      <c r="A7" s="6"/>
      <c r="B7" s="158" t="s">
        <v>14</v>
      </c>
      <c r="C7" s="193" t="s">
        <v>154</v>
      </c>
      <c r="D7" s="197"/>
    </row>
    <row r="8" spans="1:11" x14ac:dyDescent="0.25">
      <c r="A8" s="6"/>
      <c r="B8" s="159" t="s">
        <v>15</v>
      </c>
      <c r="C8" s="163" t="s">
        <v>27</v>
      </c>
      <c r="D8" s="197"/>
    </row>
    <row r="9" spans="1:11" x14ac:dyDescent="0.25">
      <c r="A9" s="6"/>
      <c r="B9" s="160" t="s">
        <v>16</v>
      </c>
      <c r="C9" s="194"/>
      <c r="D9" s="195" t="s">
        <v>28</v>
      </c>
    </row>
    <row r="10" spans="1:11" x14ac:dyDescent="0.25">
      <c r="A10" s="6"/>
      <c r="B10" s="160" t="s">
        <v>169</v>
      </c>
      <c r="C10" s="184" t="s">
        <v>170</v>
      </c>
      <c r="D10" s="185" t="s">
        <v>171</v>
      </c>
    </row>
    <row r="11" spans="1:11" x14ac:dyDescent="0.25">
      <c r="A11" s="6"/>
      <c r="B11" s="181" t="s">
        <v>17</v>
      </c>
      <c r="C11" s="161" t="s">
        <v>26</v>
      </c>
      <c r="D11" s="161" t="s">
        <v>165</v>
      </c>
    </row>
    <row r="12" spans="1:11" x14ac:dyDescent="0.25">
      <c r="A12" s="6"/>
      <c r="B12" s="158" t="s">
        <v>18</v>
      </c>
      <c r="C12" s="3">
        <v>200</v>
      </c>
      <c r="D12" s="3">
        <v>80</v>
      </c>
    </row>
    <row r="13" spans="1:11" x14ac:dyDescent="0.25">
      <c r="A13" s="6"/>
      <c r="B13" s="159" t="s">
        <v>19</v>
      </c>
      <c r="C13" s="3">
        <v>35</v>
      </c>
      <c r="D13" s="3">
        <v>70</v>
      </c>
      <c r="E13" s="6"/>
      <c r="F13" s="6"/>
      <c r="J13" s="6"/>
    </row>
    <row r="14" spans="1:11" x14ac:dyDescent="0.25">
      <c r="A14" s="6"/>
      <c r="B14" s="159" t="s">
        <v>164</v>
      </c>
      <c r="C14" s="3">
        <v>40</v>
      </c>
      <c r="D14" s="3">
        <v>400</v>
      </c>
      <c r="E14" s="157"/>
      <c r="F14" s="6"/>
      <c r="G14" s="6"/>
      <c r="H14" s="7"/>
      <c r="I14" s="6"/>
      <c r="J14" s="6"/>
      <c r="K14" s="6"/>
    </row>
    <row r="15" spans="1:11" x14ac:dyDescent="0.25">
      <c r="A15" s="6"/>
      <c r="B15" s="159" t="s">
        <v>20</v>
      </c>
      <c r="C15" s="3">
        <v>5</v>
      </c>
      <c r="D15" s="3">
        <v>50</v>
      </c>
      <c r="E15" s="157"/>
      <c r="F15" s="6"/>
      <c r="G15" s="6"/>
      <c r="H15" s="7"/>
      <c r="I15" s="6"/>
      <c r="J15" s="6"/>
      <c r="K15" s="6"/>
    </row>
    <row r="16" spans="1:11" x14ac:dyDescent="0.25">
      <c r="A16" s="6"/>
      <c r="B16" s="159" t="s">
        <v>166</v>
      </c>
      <c r="C16" s="3">
        <v>50</v>
      </c>
      <c r="D16" s="3">
        <v>95</v>
      </c>
      <c r="E16" s="157"/>
      <c r="F16" s="6"/>
      <c r="G16" s="6"/>
      <c r="H16" s="7"/>
      <c r="I16" s="6"/>
      <c r="J16" s="6"/>
      <c r="K16" s="6"/>
    </row>
    <row r="17" spans="1:11" x14ac:dyDescent="0.25">
      <c r="A17" s="6"/>
      <c r="B17" s="159" t="s">
        <v>23</v>
      </c>
      <c r="C17" s="3">
        <v>80</v>
      </c>
      <c r="D17" s="3">
        <v>400</v>
      </c>
      <c r="E17" s="6"/>
      <c r="F17" s="6"/>
      <c r="G17" s="6"/>
      <c r="H17" s="7"/>
      <c r="I17" s="6"/>
      <c r="J17" s="6"/>
      <c r="K17" s="6"/>
    </row>
    <row r="18" spans="1:11" x14ac:dyDescent="0.25">
      <c r="A18" s="6"/>
      <c r="B18" s="159" t="s">
        <v>21</v>
      </c>
      <c r="C18" s="3">
        <v>420</v>
      </c>
      <c r="D18" s="3">
        <v>450</v>
      </c>
      <c r="E18" s="6"/>
      <c r="F18" s="6"/>
      <c r="G18" s="6"/>
      <c r="H18" s="6"/>
      <c r="I18" s="6"/>
      <c r="J18" s="6"/>
      <c r="K18" s="6"/>
    </row>
    <row r="19" spans="1:11" x14ac:dyDescent="0.25">
      <c r="A19" s="6"/>
      <c r="B19" s="72" t="s">
        <v>152</v>
      </c>
      <c r="C19" s="72" t="s">
        <v>153</v>
      </c>
      <c r="D19" s="72" t="s">
        <v>161</v>
      </c>
      <c r="E19" s="6"/>
      <c r="F19" s="6"/>
      <c r="G19" s="6"/>
      <c r="H19" s="6"/>
      <c r="I19" s="6"/>
      <c r="J19" s="6"/>
      <c r="K19" s="6"/>
    </row>
    <row r="20" spans="1:11" x14ac:dyDescent="0.25">
      <c r="A20" s="6"/>
      <c r="B20" s="3" t="s">
        <v>22</v>
      </c>
      <c r="C20" s="3" t="s">
        <v>21</v>
      </c>
      <c r="D20" s="128">
        <f>25.5/68*100</f>
        <v>37.5</v>
      </c>
      <c r="E20" s="6"/>
      <c r="F20" s="6"/>
      <c r="G20" s="6"/>
      <c r="H20" s="6"/>
      <c r="I20" s="6"/>
      <c r="J20" s="6"/>
      <c r="K20" s="6"/>
    </row>
    <row r="21" spans="1:11" x14ac:dyDescent="0.25">
      <c r="A21" s="6"/>
      <c r="B21" s="3"/>
      <c r="C21" s="3" t="s">
        <v>23</v>
      </c>
      <c r="D21" s="128">
        <f>10.5/68*100</f>
        <v>15.441176470588236</v>
      </c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3" t="s">
        <v>155</v>
      </c>
      <c r="C22" s="3" t="s">
        <v>24</v>
      </c>
      <c r="D22" s="128">
        <f>12.6/68*100</f>
        <v>18.529411764705884</v>
      </c>
      <c r="E22" s="6"/>
      <c r="F22" s="6"/>
      <c r="G22" s="6"/>
      <c r="H22" s="6"/>
      <c r="I22" s="6"/>
      <c r="J22" s="6"/>
      <c r="K22" s="6"/>
    </row>
    <row r="23" spans="1:11" x14ac:dyDescent="0.25">
      <c r="A23" s="6"/>
      <c r="B23" s="3"/>
      <c r="C23" s="3" t="s">
        <v>25</v>
      </c>
      <c r="D23" s="128">
        <f>14.4/68*100</f>
        <v>21.176470588235293</v>
      </c>
      <c r="E23" s="6"/>
      <c r="F23" s="6"/>
      <c r="G23" s="6"/>
      <c r="H23" s="6"/>
      <c r="I23" s="6"/>
      <c r="J23" s="6"/>
      <c r="K23" s="6"/>
    </row>
    <row r="24" spans="1:11" ht="15.75" thickBot="1" x14ac:dyDescent="0.3">
      <c r="A24" s="6"/>
      <c r="B24" s="74"/>
      <c r="C24" s="74" t="s">
        <v>106</v>
      </c>
      <c r="D24" s="111">
        <f>4/68*100</f>
        <v>5.8823529411764701</v>
      </c>
      <c r="E24" s="6"/>
      <c r="F24" s="6"/>
      <c r="G24" s="6"/>
      <c r="H24" s="6"/>
      <c r="I24" s="6"/>
      <c r="J24" s="6"/>
      <c r="K24" s="6"/>
    </row>
    <row r="25" spans="1:11" x14ac:dyDescent="0.25">
      <c r="B25" s="165" t="s">
        <v>149</v>
      </c>
      <c r="C25" s="164" t="s">
        <v>150</v>
      </c>
      <c r="D25" s="164" t="s">
        <v>151</v>
      </c>
    </row>
    <row r="26" spans="1:11" x14ac:dyDescent="0.25">
      <c r="B26" s="3" t="s">
        <v>22</v>
      </c>
      <c r="C26" s="3" t="s">
        <v>21</v>
      </c>
      <c r="D26" s="3" t="s">
        <v>33</v>
      </c>
    </row>
    <row r="27" spans="1:11" x14ac:dyDescent="0.25">
      <c r="B27" s="3"/>
      <c r="C27" s="3" t="s">
        <v>24</v>
      </c>
      <c r="D27" s="3" t="s">
        <v>167</v>
      </c>
    </row>
    <row r="28" spans="1:11" x14ac:dyDescent="0.25">
      <c r="B28" s="3"/>
      <c r="C28" s="3" t="s">
        <v>29</v>
      </c>
      <c r="D28" s="3" t="s">
        <v>34</v>
      </c>
    </row>
    <row r="29" spans="1:11" x14ac:dyDescent="0.25">
      <c r="B29" s="186"/>
      <c r="C29" s="186" t="s">
        <v>32</v>
      </c>
      <c r="D29" s="186" t="s">
        <v>168</v>
      </c>
    </row>
    <row r="30" spans="1:11" x14ac:dyDescent="0.25">
      <c r="B30" s="189" t="s">
        <v>172</v>
      </c>
      <c r="C30" s="190" t="s">
        <v>202</v>
      </c>
      <c r="D30" s="188" t="s">
        <v>192</v>
      </c>
    </row>
    <row r="31" spans="1:11" x14ac:dyDescent="0.25">
      <c r="B31" s="3" t="s">
        <v>190</v>
      </c>
      <c r="C31" s="3" t="s">
        <v>221</v>
      </c>
      <c r="D31" s="3" t="s">
        <v>173</v>
      </c>
    </row>
    <row r="32" spans="1:11" x14ac:dyDescent="0.25">
      <c r="B32" s="187" t="s">
        <v>189</v>
      </c>
      <c r="C32" s="3" t="s">
        <v>194</v>
      </c>
      <c r="D32" s="187" t="s">
        <v>220</v>
      </c>
    </row>
    <row r="33" spans="2:4" x14ac:dyDescent="0.25">
      <c r="B33" s="187" t="s">
        <v>188</v>
      </c>
      <c r="C33" s="3" t="s">
        <v>195</v>
      </c>
      <c r="D33" s="187" t="s">
        <v>218</v>
      </c>
    </row>
    <row r="34" spans="2:4" x14ac:dyDescent="0.25">
      <c r="B34" s="187" t="s">
        <v>174</v>
      </c>
      <c r="C34" s="3" t="s">
        <v>196</v>
      </c>
      <c r="D34" s="187" t="s">
        <v>219</v>
      </c>
    </row>
    <row r="35" spans="2:4" x14ac:dyDescent="0.25">
      <c r="B35" s="187" t="s">
        <v>175</v>
      </c>
      <c r="C35" s="3" t="s">
        <v>197</v>
      </c>
      <c r="D35" s="187" t="s">
        <v>176</v>
      </c>
    </row>
    <row r="36" spans="2:4" x14ac:dyDescent="0.25">
      <c r="B36" s="187" t="s">
        <v>177</v>
      </c>
      <c r="C36" s="3" t="s">
        <v>196</v>
      </c>
      <c r="D36" s="187" t="s">
        <v>178</v>
      </c>
    </row>
    <row r="37" spans="2:4" x14ac:dyDescent="0.25">
      <c r="B37" s="187" t="s">
        <v>187</v>
      </c>
      <c r="C37" s="3" t="s">
        <v>217</v>
      </c>
      <c r="D37" s="187" t="s">
        <v>179</v>
      </c>
    </row>
    <row r="38" spans="2:4" x14ac:dyDescent="0.25">
      <c r="B38" s="187" t="s">
        <v>193</v>
      </c>
      <c r="C38" s="3" t="s">
        <v>198</v>
      </c>
      <c r="D38" s="187" t="s">
        <v>178</v>
      </c>
    </row>
    <row r="39" spans="2:4" x14ac:dyDescent="0.25">
      <c r="B39" s="187" t="s">
        <v>180</v>
      </c>
      <c r="C39" s="3" t="s">
        <v>199</v>
      </c>
      <c r="D39" s="187" t="s">
        <v>181</v>
      </c>
    </row>
    <row r="40" spans="2:4" x14ac:dyDescent="0.25">
      <c r="B40" s="187" t="s">
        <v>186</v>
      </c>
      <c r="C40" s="3" t="s">
        <v>199</v>
      </c>
      <c r="D40" s="187" t="s">
        <v>191</v>
      </c>
    </row>
    <row r="41" spans="2:4" x14ac:dyDescent="0.25">
      <c r="B41" s="187" t="s">
        <v>182</v>
      </c>
      <c r="C41" s="3" t="s">
        <v>200</v>
      </c>
      <c r="D41" s="3" t="s">
        <v>183</v>
      </c>
    </row>
    <row r="42" spans="2:4" x14ac:dyDescent="0.25">
      <c r="B42" s="187" t="s">
        <v>184</v>
      </c>
      <c r="C42" s="3" t="s">
        <v>201</v>
      </c>
      <c r="D42" s="187" t="s">
        <v>185</v>
      </c>
    </row>
    <row r="43" spans="2:4" x14ac:dyDescent="0.25">
      <c r="B43" s="187" t="s">
        <v>203</v>
      </c>
      <c r="C43" s="187" t="s">
        <v>204</v>
      </c>
      <c r="D43" s="187" t="s">
        <v>216</v>
      </c>
    </row>
    <row r="44" spans="2:4" x14ac:dyDescent="0.25">
      <c r="B44" s="187" t="s">
        <v>205</v>
      </c>
      <c r="C44" s="187" t="s">
        <v>199</v>
      </c>
      <c r="D44" s="3" t="s">
        <v>215</v>
      </c>
    </row>
    <row r="45" spans="2:4" x14ac:dyDescent="0.25">
      <c r="B45" s="187" t="s">
        <v>206</v>
      </c>
      <c r="C45" s="3" t="s">
        <v>208</v>
      </c>
      <c r="D45" s="3" t="s">
        <v>213</v>
      </c>
    </row>
    <row r="46" spans="2:4" x14ac:dyDescent="0.25">
      <c r="B46" s="187" t="s">
        <v>207</v>
      </c>
      <c r="C46" s="3" t="s">
        <v>209</v>
      </c>
      <c r="D46" s="3" t="s">
        <v>214</v>
      </c>
    </row>
    <row r="47" spans="2:4" x14ac:dyDescent="0.25">
      <c r="B47" s="187" t="s">
        <v>210</v>
      </c>
      <c r="C47" s="187" t="s">
        <v>211</v>
      </c>
      <c r="D47" s="3" t="s">
        <v>212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opLeftCell="A4" workbookViewId="0">
      <selection activeCell="S16" sqref="S16"/>
    </sheetView>
  </sheetViews>
  <sheetFormatPr baseColWidth="10" defaultRowHeight="15" x14ac:dyDescent="0.25"/>
  <cols>
    <col min="8" max="8" width="14.42578125" customWidth="1"/>
  </cols>
  <sheetData>
    <row r="3" spans="2:8" ht="28.5" x14ac:dyDescent="0.25">
      <c r="B3" s="51" t="s">
        <v>9</v>
      </c>
      <c r="C3" s="51" t="s">
        <v>10</v>
      </c>
      <c r="D3" s="51" t="s">
        <v>11</v>
      </c>
      <c r="E3" s="52" t="s">
        <v>31</v>
      </c>
      <c r="F3" s="52" t="s">
        <v>88</v>
      </c>
      <c r="G3" s="52" t="s">
        <v>30</v>
      </c>
      <c r="H3" s="52" t="s">
        <v>85</v>
      </c>
    </row>
    <row r="4" spans="2:8" x14ac:dyDescent="0.25">
      <c r="B4" s="53">
        <v>2000</v>
      </c>
      <c r="C4" s="53">
        <v>1724893</v>
      </c>
      <c r="D4" s="53">
        <v>1504069</v>
      </c>
      <c r="E4" s="53">
        <v>637710</v>
      </c>
      <c r="F4" s="53" t="s">
        <v>86</v>
      </c>
      <c r="G4" s="53">
        <v>419052</v>
      </c>
      <c r="H4" s="3">
        <f>SUM(C4:G4)</f>
        <v>4285724</v>
      </c>
    </row>
    <row r="5" spans="2:8" x14ac:dyDescent="0.25">
      <c r="B5" s="53">
        <v>2001</v>
      </c>
      <c r="C5" s="53">
        <v>1922438</v>
      </c>
      <c r="D5" s="53">
        <v>1461327</v>
      </c>
      <c r="E5" s="53">
        <v>590533</v>
      </c>
      <c r="F5" s="53" t="s">
        <v>86</v>
      </c>
      <c r="G5" s="53">
        <v>382660</v>
      </c>
      <c r="H5" s="3">
        <f t="shared" ref="H5:H21" si="0">SUM(C5:G5)</f>
        <v>4356958</v>
      </c>
    </row>
    <row r="6" spans="2:8" x14ac:dyDescent="0.25">
      <c r="B6" s="53">
        <v>2002</v>
      </c>
      <c r="C6" s="53">
        <v>1792404</v>
      </c>
      <c r="D6" s="53">
        <v>1526530</v>
      </c>
      <c r="E6" s="53">
        <v>603626</v>
      </c>
      <c r="F6" s="53" t="s">
        <v>86</v>
      </c>
      <c r="G6" s="53">
        <v>349518</v>
      </c>
      <c r="H6" s="3">
        <f t="shared" si="0"/>
        <v>4272078</v>
      </c>
    </row>
    <row r="7" spans="2:8" x14ac:dyDescent="0.25">
      <c r="B7" s="53">
        <v>2003</v>
      </c>
      <c r="C7" s="53">
        <v>1653614</v>
      </c>
      <c r="D7" s="53">
        <v>1446537</v>
      </c>
      <c r="E7" s="53">
        <v>530941</v>
      </c>
      <c r="F7" s="53" t="s">
        <v>86</v>
      </c>
      <c r="G7" s="53">
        <v>338043</v>
      </c>
      <c r="H7" s="3">
        <f t="shared" si="0"/>
        <v>3969135</v>
      </c>
    </row>
    <row r="8" spans="2:8" x14ac:dyDescent="0.25">
      <c r="B8" s="53">
        <v>2004</v>
      </c>
      <c r="C8" s="53">
        <v>1716474</v>
      </c>
      <c r="D8" s="53">
        <v>1514353</v>
      </c>
      <c r="E8" s="53">
        <v>532033</v>
      </c>
      <c r="F8" s="53" t="s">
        <v>86</v>
      </c>
      <c r="G8" s="53">
        <v>378284</v>
      </c>
      <c r="H8" s="3">
        <f t="shared" si="0"/>
        <v>4141144</v>
      </c>
    </row>
    <row r="9" spans="2:8" x14ac:dyDescent="0.25">
      <c r="B9" s="53">
        <v>2005</v>
      </c>
      <c r="C9" s="53">
        <v>1519589</v>
      </c>
      <c r="D9" s="53">
        <v>1420272</v>
      </c>
      <c r="E9" s="53">
        <v>474022</v>
      </c>
      <c r="F9" s="53" t="s">
        <v>86</v>
      </c>
      <c r="G9" s="53">
        <v>358924</v>
      </c>
      <c r="H9" s="3">
        <f t="shared" si="0"/>
        <v>3772807</v>
      </c>
    </row>
    <row r="10" spans="2:8" x14ac:dyDescent="0.25">
      <c r="B10" s="53">
        <v>2006</v>
      </c>
      <c r="C10" s="53">
        <v>1580767</v>
      </c>
      <c r="D10" s="53">
        <v>1399096</v>
      </c>
      <c r="E10" s="53">
        <v>485499</v>
      </c>
      <c r="F10" s="53" t="s">
        <v>86</v>
      </c>
      <c r="G10" s="53">
        <v>340830</v>
      </c>
      <c r="H10" s="3">
        <f t="shared" si="0"/>
        <v>3806192</v>
      </c>
    </row>
    <row r="11" spans="2:8" x14ac:dyDescent="0.25">
      <c r="B11" s="53">
        <v>2007</v>
      </c>
      <c r="C11" s="53">
        <v>1611523</v>
      </c>
      <c r="D11" s="53">
        <v>1321844</v>
      </c>
      <c r="E11" s="53">
        <v>471100</v>
      </c>
      <c r="F11" s="53" t="s">
        <v>86</v>
      </c>
      <c r="G11" s="53">
        <v>310597</v>
      </c>
      <c r="H11" s="3">
        <f t="shared" si="0"/>
        <v>3715064</v>
      </c>
    </row>
    <row r="12" spans="2:8" x14ac:dyDescent="0.25">
      <c r="B12" s="53">
        <v>2008</v>
      </c>
      <c r="C12" s="53">
        <v>1660104</v>
      </c>
      <c r="D12" s="53">
        <v>1366309</v>
      </c>
      <c r="E12" s="53">
        <v>475258</v>
      </c>
      <c r="F12" s="53" t="s">
        <v>86</v>
      </c>
      <c r="G12" s="53">
        <v>315953</v>
      </c>
      <c r="H12" s="3">
        <f t="shared" si="0"/>
        <v>3817624</v>
      </c>
    </row>
    <row r="13" spans="2:8" x14ac:dyDescent="0.25">
      <c r="B13" s="53">
        <v>2009</v>
      </c>
      <c r="C13" s="53">
        <v>1578983</v>
      </c>
      <c r="D13" s="53">
        <v>1378951</v>
      </c>
      <c r="E13" s="53">
        <v>495561</v>
      </c>
      <c r="F13" s="53">
        <v>31366</v>
      </c>
      <c r="G13" s="53">
        <v>307258</v>
      </c>
      <c r="H13" s="3">
        <f>SUM(B13:G13)</f>
        <v>3794128</v>
      </c>
    </row>
    <row r="14" spans="2:8" x14ac:dyDescent="0.25">
      <c r="B14" s="53">
        <v>2010</v>
      </c>
      <c r="C14" s="53">
        <v>1583245</v>
      </c>
      <c r="D14" s="53">
        <v>1340955</v>
      </c>
      <c r="E14" s="53">
        <v>527639</v>
      </c>
      <c r="F14" s="53">
        <v>30266</v>
      </c>
      <c r="G14" s="53">
        <v>321708</v>
      </c>
      <c r="H14" s="3">
        <f t="shared" si="0"/>
        <v>3803813</v>
      </c>
    </row>
    <row r="15" spans="2:8" x14ac:dyDescent="0.25">
      <c r="B15" s="53">
        <v>2011</v>
      </c>
      <c r="C15" s="53">
        <v>1502384</v>
      </c>
      <c r="D15" s="53">
        <v>1310343</v>
      </c>
      <c r="E15" s="53">
        <v>525661</v>
      </c>
      <c r="F15" s="53">
        <v>47305</v>
      </c>
      <c r="G15" s="53">
        <v>333320</v>
      </c>
      <c r="H15" s="3">
        <f t="shared" si="0"/>
        <v>3719013</v>
      </c>
    </row>
    <row r="16" spans="2:8" x14ac:dyDescent="0.25">
      <c r="B16" s="53">
        <v>2012</v>
      </c>
      <c r="C16" s="53">
        <v>1458546</v>
      </c>
      <c r="D16" s="53">
        <v>1285572</v>
      </c>
      <c r="E16" s="53">
        <v>499409</v>
      </c>
      <c r="F16" s="53">
        <v>66873</v>
      </c>
      <c r="G16" s="53">
        <v>343386</v>
      </c>
      <c r="H16" s="3">
        <f t="shared" si="0"/>
        <v>3653786</v>
      </c>
    </row>
    <row r="17" spans="2:8" x14ac:dyDescent="0.25">
      <c r="B17" s="53">
        <v>2013</v>
      </c>
      <c r="C17" s="53">
        <v>1444136</v>
      </c>
      <c r="D17" s="53">
        <v>1221705</v>
      </c>
      <c r="E17" s="53">
        <v>484152</v>
      </c>
      <c r="F17" s="53">
        <v>53131</v>
      </c>
      <c r="G17" s="53">
        <v>318448</v>
      </c>
      <c r="H17" s="3">
        <f t="shared" si="0"/>
        <v>3521572</v>
      </c>
    </row>
    <row r="18" spans="2:8" x14ac:dyDescent="0.25">
      <c r="B18" s="53">
        <v>2014</v>
      </c>
      <c r="C18" s="53">
        <v>1465046</v>
      </c>
      <c r="D18" s="53">
        <v>1285466</v>
      </c>
      <c r="E18" s="53">
        <v>487309</v>
      </c>
      <c r="F18" s="53">
        <v>44223</v>
      </c>
      <c r="G18" s="53">
        <v>324399</v>
      </c>
      <c r="H18" s="3">
        <f t="shared" si="0"/>
        <v>3606443</v>
      </c>
    </row>
    <row r="19" spans="2:8" x14ac:dyDescent="0.25">
      <c r="B19" s="53">
        <v>2015</v>
      </c>
      <c r="C19" s="53">
        <v>1448025</v>
      </c>
      <c r="D19" s="53">
        <v>1249346</v>
      </c>
      <c r="E19" s="53">
        <v>521133</v>
      </c>
      <c r="F19" s="53">
        <v>39890</v>
      </c>
      <c r="G19" s="53">
        <v>323559</v>
      </c>
      <c r="H19" s="3">
        <f t="shared" si="0"/>
        <v>3581953</v>
      </c>
    </row>
    <row r="20" spans="2:8" x14ac:dyDescent="0.25">
      <c r="B20" s="53">
        <v>2016</v>
      </c>
      <c r="C20" s="53">
        <v>1366115</v>
      </c>
      <c r="D20" s="53">
        <v>1339922</v>
      </c>
      <c r="E20" s="53">
        <v>555570</v>
      </c>
      <c r="F20" s="53">
        <v>38875</v>
      </c>
      <c r="G20" s="53">
        <v>339588</v>
      </c>
      <c r="H20" s="3">
        <f t="shared" si="0"/>
        <v>3640070</v>
      </c>
    </row>
    <row r="21" spans="2:8" x14ac:dyDescent="0.25">
      <c r="B21" s="53">
        <v>2017</v>
      </c>
      <c r="C21" s="53">
        <v>1365931</v>
      </c>
      <c r="D21" s="53">
        <v>1254820</v>
      </c>
      <c r="E21" s="53">
        <v>557274</v>
      </c>
      <c r="F21" s="53">
        <v>40089</v>
      </c>
      <c r="G21" s="53">
        <v>331318</v>
      </c>
      <c r="H21" s="3">
        <f t="shared" si="0"/>
        <v>3549432</v>
      </c>
    </row>
    <row r="22" spans="2:8" x14ac:dyDescent="0.25">
      <c r="B22" t="s">
        <v>87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Mastdauer</vt:lpstr>
      <vt:lpstr>Schlachterlöse</vt:lpstr>
      <vt:lpstr>Einnahmen</vt:lpstr>
      <vt:lpstr>Kosten</vt:lpstr>
      <vt:lpstr>Kalkulation Mast ab Kalb</vt:lpstr>
      <vt:lpstr>Kalkulation Mast ab Starterkalb</vt:lpstr>
      <vt:lpstr>Kalkulation Mast ab Fresser</vt:lpstr>
      <vt:lpstr>Bsp.-Betrieb</vt:lpstr>
      <vt:lpstr>Anhang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Robbyn Barwich</dc:creator>
  <cp:lastModifiedBy>Goele, Axana</cp:lastModifiedBy>
  <cp:lastPrinted>2020-01-21T14:01:02Z</cp:lastPrinted>
  <dcterms:created xsi:type="dcterms:W3CDTF">2018-11-27T14:17:58Z</dcterms:created>
  <dcterms:modified xsi:type="dcterms:W3CDTF">2020-01-21T14:05:11Z</dcterms:modified>
</cp:coreProperties>
</file>